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14DBDD83-9036-4BB9-A935-F84F0ED07F6D}" xr6:coauthVersionLast="47" xr6:coauthVersionMax="47" xr10:uidLastSave="{00000000-0000-0000-0000-000000000000}"/>
  <bookViews>
    <workbookView xWindow="1824" yWindow="1824" windowWidth="28716" windowHeight="21444" xr2:uid="{00000000-000D-0000-FFFF-FFFF00000000}"/>
  </bookViews>
  <sheets>
    <sheet name="SAMPLE" sheetId="1" r:id="rId1"/>
    <sheet name="2026" sheetId="2" r:id="rId2"/>
    <sheet name="2027" sheetId="3" r:id="rId3"/>
    <sheet name="2028" sheetId="4" r:id="rId4"/>
    <sheet name="2029" sheetId="5" r:id="rId5"/>
    <sheet name="2030" sheetId="6" r:id="rId6"/>
    <sheet name="TEMPLATE - Future Years" sheetId="7" r:id="rId7"/>
    <sheet name="Please Support Project REAL"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31" i="7" l="1"/>
  <c r="Q631" i="7"/>
  <c r="N631" i="7"/>
  <c r="K631" i="7"/>
  <c r="H631" i="7"/>
  <c r="E631" i="7"/>
  <c r="B631" i="7"/>
  <c r="T619" i="7"/>
  <c r="Q619" i="7"/>
  <c r="N619" i="7"/>
  <c r="K619" i="7"/>
  <c r="H619" i="7"/>
  <c r="E619" i="7"/>
  <c r="B619" i="7"/>
  <c r="T607" i="7"/>
  <c r="Q607" i="7"/>
  <c r="N607" i="7"/>
  <c r="K607" i="7"/>
  <c r="H607" i="7"/>
  <c r="E607" i="7"/>
  <c r="B607" i="7"/>
  <c r="T595" i="7"/>
  <c r="Q595" i="7"/>
  <c r="N595" i="7"/>
  <c r="K595" i="7"/>
  <c r="H595" i="7"/>
  <c r="E595" i="7"/>
  <c r="B595" i="7"/>
  <c r="T583" i="7"/>
  <c r="Q583" i="7"/>
  <c r="N583" i="7"/>
  <c r="K583" i="7"/>
  <c r="H583" i="7"/>
  <c r="E583" i="7"/>
  <c r="B583" i="7"/>
  <c r="T571" i="7"/>
  <c r="Q571" i="7"/>
  <c r="N571" i="7"/>
  <c r="K571" i="7"/>
  <c r="H571" i="7"/>
  <c r="E571" i="7"/>
  <c r="B571" i="7"/>
  <c r="T559" i="7"/>
  <c r="Q559" i="7"/>
  <c r="N559" i="7"/>
  <c r="K559" i="7"/>
  <c r="H559" i="7"/>
  <c r="E559" i="7"/>
  <c r="B559" i="7"/>
  <c r="T547" i="7"/>
  <c r="Q547" i="7"/>
  <c r="N547" i="7"/>
  <c r="K547" i="7"/>
  <c r="H547" i="7"/>
  <c r="E547" i="7"/>
  <c r="B547" i="7"/>
  <c r="T535" i="7"/>
  <c r="Q535" i="7"/>
  <c r="N535" i="7"/>
  <c r="K535" i="7"/>
  <c r="H535" i="7"/>
  <c r="E535" i="7"/>
  <c r="B535" i="7"/>
  <c r="T523" i="7"/>
  <c r="Q523" i="7"/>
  <c r="N523" i="7"/>
  <c r="K523" i="7"/>
  <c r="H523" i="7"/>
  <c r="E523" i="7"/>
  <c r="B523" i="7"/>
  <c r="T511" i="7"/>
  <c r="Q511" i="7"/>
  <c r="N511" i="7"/>
  <c r="K511" i="7"/>
  <c r="H511" i="7"/>
  <c r="E511" i="7"/>
  <c r="B511" i="7"/>
  <c r="T499" i="7"/>
  <c r="Q499" i="7"/>
  <c r="N499" i="7"/>
  <c r="K499" i="7"/>
  <c r="H499" i="7"/>
  <c r="E499" i="7"/>
  <c r="B499" i="7"/>
  <c r="T487" i="7"/>
  <c r="Q487" i="7"/>
  <c r="N487" i="7"/>
  <c r="K487" i="7"/>
  <c r="H487" i="7"/>
  <c r="E487" i="7"/>
  <c r="B487" i="7"/>
  <c r="T475" i="7"/>
  <c r="Q475" i="7"/>
  <c r="N475" i="7"/>
  <c r="K475" i="7"/>
  <c r="H475" i="7"/>
  <c r="E475" i="7"/>
  <c r="B475" i="7"/>
  <c r="T463" i="7"/>
  <c r="Q463" i="7"/>
  <c r="N463" i="7"/>
  <c r="K463" i="7"/>
  <c r="H463" i="7"/>
  <c r="E463" i="7"/>
  <c r="B463" i="7"/>
  <c r="T451" i="7"/>
  <c r="Q451" i="7"/>
  <c r="N451" i="7"/>
  <c r="K451" i="7"/>
  <c r="H451" i="7"/>
  <c r="E451" i="7"/>
  <c r="B451" i="7"/>
  <c r="T439" i="7"/>
  <c r="Q439" i="7"/>
  <c r="N439" i="7"/>
  <c r="K439" i="7"/>
  <c r="H439" i="7"/>
  <c r="E439" i="7"/>
  <c r="B439" i="7"/>
  <c r="T427" i="7"/>
  <c r="Q427" i="7"/>
  <c r="N427" i="7"/>
  <c r="K427" i="7"/>
  <c r="H427" i="7"/>
  <c r="E427" i="7"/>
  <c r="B427" i="7"/>
  <c r="T415" i="7"/>
  <c r="Q415" i="7"/>
  <c r="N415" i="7"/>
  <c r="K415" i="7"/>
  <c r="H415" i="7"/>
  <c r="E415" i="7"/>
  <c r="B415" i="7"/>
  <c r="T403" i="7"/>
  <c r="Q403" i="7"/>
  <c r="N403" i="7"/>
  <c r="K403" i="7"/>
  <c r="H403" i="7"/>
  <c r="E403" i="7"/>
  <c r="B403" i="7"/>
  <c r="T391" i="7"/>
  <c r="Q391" i="7"/>
  <c r="N391" i="7"/>
  <c r="K391" i="7"/>
  <c r="H391" i="7"/>
  <c r="E391" i="7"/>
  <c r="B391" i="7"/>
  <c r="T379" i="7"/>
  <c r="Q379" i="7"/>
  <c r="N379" i="7"/>
  <c r="K379" i="7"/>
  <c r="H379" i="7"/>
  <c r="E379" i="7"/>
  <c r="B379" i="7"/>
  <c r="T367" i="7"/>
  <c r="Q367" i="7"/>
  <c r="N367" i="7"/>
  <c r="K367" i="7"/>
  <c r="H367" i="7"/>
  <c r="E367" i="7"/>
  <c r="B367" i="7"/>
  <c r="T355" i="7"/>
  <c r="Q355" i="7"/>
  <c r="N355" i="7"/>
  <c r="K355" i="7"/>
  <c r="H355" i="7"/>
  <c r="E355" i="7"/>
  <c r="B355" i="7"/>
  <c r="T343" i="7"/>
  <c r="Q343" i="7"/>
  <c r="N343" i="7"/>
  <c r="K343" i="7"/>
  <c r="H343" i="7"/>
  <c r="E343" i="7"/>
  <c r="B343" i="7"/>
  <c r="T331" i="7"/>
  <c r="Q331" i="7"/>
  <c r="N331" i="7"/>
  <c r="K331" i="7"/>
  <c r="H331" i="7"/>
  <c r="E331" i="7"/>
  <c r="B331" i="7"/>
  <c r="T319" i="7"/>
  <c r="Q319" i="7"/>
  <c r="N319" i="7"/>
  <c r="K319" i="7"/>
  <c r="H319" i="7"/>
  <c r="E319" i="7"/>
  <c r="B319" i="7"/>
  <c r="T307" i="7"/>
  <c r="Q307" i="7"/>
  <c r="N307" i="7"/>
  <c r="K307" i="7"/>
  <c r="H307" i="7"/>
  <c r="E307" i="7"/>
  <c r="B307" i="7"/>
  <c r="T295" i="7"/>
  <c r="Q295" i="7"/>
  <c r="N295" i="7"/>
  <c r="K295" i="7"/>
  <c r="H295" i="7"/>
  <c r="E295" i="7"/>
  <c r="B295" i="7"/>
  <c r="T283" i="7"/>
  <c r="Q283" i="7"/>
  <c r="N283" i="7"/>
  <c r="K283" i="7"/>
  <c r="H283" i="7"/>
  <c r="E283" i="7"/>
  <c r="B283" i="7"/>
  <c r="T271" i="7"/>
  <c r="Q271" i="7"/>
  <c r="N271" i="7"/>
  <c r="K271" i="7"/>
  <c r="H271" i="7"/>
  <c r="E271" i="7"/>
  <c r="B271" i="7"/>
  <c r="T259" i="7"/>
  <c r="Q259" i="7"/>
  <c r="N259" i="7"/>
  <c r="K259" i="7"/>
  <c r="H259" i="7"/>
  <c r="E259" i="7"/>
  <c r="B259" i="7"/>
  <c r="T247" i="7"/>
  <c r="Q247" i="7"/>
  <c r="N247" i="7"/>
  <c r="K247" i="7"/>
  <c r="H247" i="7"/>
  <c r="E247" i="7"/>
  <c r="B247" i="7"/>
  <c r="T235" i="7"/>
  <c r="Q235" i="7"/>
  <c r="N235" i="7"/>
  <c r="K235" i="7"/>
  <c r="H235" i="7"/>
  <c r="E235" i="7"/>
  <c r="B235" i="7"/>
  <c r="T223" i="7"/>
  <c r="Q223" i="7"/>
  <c r="N223" i="7"/>
  <c r="K223" i="7"/>
  <c r="H223" i="7"/>
  <c r="E223" i="7"/>
  <c r="B223" i="7"/>
  <c r="T211" i="7"/>
  <c r="Q211" i="7"/>
  <c r="N211" i="7"/>
  <c r="K211" i="7"/>
  <c r="H211" i="7"/>
  <c r="E211" i="7"/>
  <c r="B211" i="7"/>
  <c r="T199" i="7"/>
  <c r="Q199" i="7"/>
  <c r="N199" i="7"/>
  <c r="K199" i="7"/>
  <c r="H199" i="7"/>
  <c r="E199" i="7"/>
  <c r="B199" i="7"/>
  <c r="T187" i="7"/>
  <c r="Q187" i="7"/>
  <c r="N187" i="7"/>
  <c r="K187" i="7"/>
  <c r="H187" i="7"/>
  <c r="E187" i="7"/>
  <c r="B187" i="7"/>
  <c r="T175" i="7"/>
  <c r="Q175" i="7"/>
  <c r="N175" i="7"/>
  <c r="K175" i="7"/>
  <c r="H175" i="7"/>
  <c r="E175" i="7"/>
  <c r="B175" i="7"/>
  <c r="T163" i="7"/>
  <c r="Q163" i="7"/>
  <c r="N163" i="7"/>
  <c r="K163" i="7"/>
  <c r="H163" i="7"/>
  <c r="E163" i="7"/>
  <c r="B163" i="7"/>
  <c r="T151" i="7"/>
  <c r="Q151" i="7"/>
  <c r="N151" i="7"/>
  <c r="K151" i="7"/>
  <c r="H151" i="7"/>
  <c r="E151" i="7"/>
  <c r="B151" i="7"/>
  <c r="T139" i="7"/>
  <c r="Q139" i="7"/>
  <c r="N139" i="7"/>
  <c r="K139" i="7"/>
  <c r="H139" i="7"/>
  <c r="E139" i="7"/>
  <c r="B139" i="7"/>
  <c r="T127" i="7"/>
  <c r="Q127" i="7"/>
  <c r="N127" i="7"/>
  <c r="K127" i="7"/>
  <c r="H127" i="7"/>
  <c r="E127" i="7"/>
  <c r="B127" i="7"/>
  <c r="T115" i="7"/>
  <c r="Q115" i="7"/>
  <c r="N115" i="7"/>
  <c r="K115" i="7"/>
  <c r="H115" i="7"/>
  <c r="E115" i="7"/>
  <c r="B115" i="7"/>
  <c r="T103" i="7"/>
  <c r="Q103" i="7"/>
  <c r="N103" i="7"/>
  <c r="K103" i="7"/>
  <c r="H103" i="7"/>
  <c r="E103" i="7"/>
  <c r="B103" i="7"/>
  <c r="T91" i="7"/>
  <c r="Q91" i="7"/>
  <c r="N91" i="7"/>
  <c r="K91" i="7"/>
  <c r="H91" i="7"/>
  <c r="E91" i="7"/>
  <c r="B91" i="7"/>
  <c r="T79" i="7"/>
  <c r="Q79" i="7"/>
  <c r="N79" i="7"/>
  <c r="K79" i="7"/>
  <c r="H79" i="7"/>
  <c r="E79" i="7"/>
  <c r="B79" i="7"/>
  <c r="T67" i="7"/>
  <c r="Q67" i="7"/>
  <c r="N67" i="7"/>
  <c r="K67" i="7"/>
  <c r="H67" i="7"/>
  <c r="E67" i="7"/>
  <c r="B67" i="7"/>
  <c r="T57" i="7"/>
  <c r="Q57" i="7"/>
  <c r="N57" i="7"/>
  <c r="K57" i="7"/>
  <c r="H57" i="7"/>
  <c r="E57" i="7"/>
  <c r="B57" i="7"/>
  <c r="T45" i="7"/>
  <c r="Q45" i="7"/>
  <c r="N45" i="7"/>
  <c r="K45" i="7"/>
  <c r="H45" i="7"/>
  <c r="E45" i="7"/>
  <c r="B45" i="7"/>
  <c r="T34" i="7"/>
  <c r="Q34" i="7"/>
  <c r="N34" i="7"/>
  <c r="K34" i="7"/>
  <c r="H34" i="7"/>
  <c r="E34" i="7"/>
  <c r="B34" i="7"/>
  <c r="T23" i="7"/>
  <c r="Q23" i="7"/>
  <c r="N23" i="7"/>
  <c r="K23" i="7"/>
  <c r="H23" i="7"/>
  <c r="E23" i="7"/>
  <c r="B23" i="7"/>
  <c r="T12" i="7"/>
  <c r="Q12" i="7"/>
  <c r="N12" i="7"/>
  <c r="K12" i="7"/>
  <c r="H12" i="7"/>
  <c r="E12" i="7"/>
  <c r="B12" i="7"/>
  <c r="D10" i="7"/>
  <c r="D11" i="7" s="1"/>
  <c r="G4" i="7" s="1"/>
  <c r="G5" i="7" s="1"/>
  <c r="G6" i="7" s="1"/>
  <c r="G7" i="7" s="1"/>
  <c r="G8" i="7" s="1"/>
  <c r="G9" i="7" s="1"/>
  <c r="G10" i="7" s="1"/>
  <c r="G11" i="7" s="1"/>
  <c r="J4" i="7" s="1"/>
  <c r="J5" i="7" s="1"/>
  <c r="J6" i="7" s="1"/>
  <c r="J7" i="7" s="1"/>
  <c r="J8" i="7" s="1"/>
  <c r="J9" i="7" s="1"/>
  <c r="J10" i="7" s="1"/>
  <c r="J11" i="7" s="1"/>
  <c r="M4" i="7" s="1"/>
  <c r="M5" i="7" s="1"/>
  <c r="M6" i="7" s="1"/>
  <c r="M7" i="7" s="1"/>
  <c r="M8" i="7" s="1"/>
  <c r="M9" i="7" s="1"/>
  <c r="M10" i="7" s="1"/>
  <c r="M11" i="7" s="1"/>
  <c r="P4" i="7" s="1"/>
  <c r="P5" i="7" s="1"/>
  <c r="P6" i="7" s="1"/>
  <c r="P7" i="7" s="1"/>
  <c r="P8" i="7" s="1"/>
  <c r="P9" i="7" s="1"/>
  <c r="P10" i="7" s="1"/>
  <c r="P11" i="7" s="1"/>
  <c r="S4" i="7" s="1"/>
  <c r="S5" i="7" s="1"/>
  <c r="S6" i="7" s="1"/>
  <c r="S7" i="7" s="1"/>
  <c r="S8" i="7" s="1"/>
  <c r="S9" i="7" s="1"/>
  <c r="S10" i="7" s="1"/>
  <c r="S11" i="7" s="1"/>
  <c r="V4" i="7" s="1"/>
  <c r="V5" i="7" s="1"/>
  <c r="V6" i="7" s="1"/>
  <c r="V7" i="7" s="1"/>
  <c r="V8" i="7" s="1"/>
  <c r="V9" i="7" s="1"/>
  <c r="V10" i="7" s="1"/>
  <c r="V11" i="7" s="1"/>
  <c r="D13" i="7" s="1"/>
  <c r="D14" i="7" s="1"/>
  <c r="D15" i="7" s="1"/>
  <c r="D16" i="7" s="1"/>
  <c r="D17" i="7" s="1"/>
  <c r="D18" i="7" s="1"/>
  <c r="D19" i="7" s="1"/>
  <c r="D20" i="7" s="1"/>
  <c r="D21" i="7" s="1"/>
  <c r="D22" i="7" s="1"/>
  <c r="G13" i="7" s="1"/>
  <c r="G14" i="7" s="1"/>
  <c r="G15" i="7" s="1"/>
  <c r="G16" i="7" s="1"/>
  <c r="G17" i="7" s="1"/>
  <c r="G18" i="7" s="1"/>
  <c r="G19" i="7" s="1"/>
  <c r="G20" i="7" s="1"/>
  <c r="G21" i="7" s="1"/>
  <c r="G22" i="7" s="1"/>
  <c r="J13" i="7" s="1"/>
  <c r="J14" i="7" s="1"/>
  <c r="J15" i="7" s="1"/>
  <c r="J16" i="7" s="1"/>
  <c r="J17" i="7" s="1"/>
  <c r="J18" i="7" s="1"/>
  <c r="J19" i="7" s="1"/>
  <c r="J20" i="7" s="1"/>
  <c r="J21" i="7" s="1"/>
  <c r="J22" i="7" s="1"/>
  <c r="M13" i="7" s="1"/>
  <c r="M14" i="7" s="1"/>
  <c r="M15" i="7" s="1"/>
  <c r="M16" i="7" s="1"/>
  <c r="M17" i="7" s="1"/>
  <c r="M18" i="7" s="1"/>
  <c r="M19" i="7" s="1"/>
  <c r="M20" i="7" s="1"/>
  <c r="M21" i="7" s="1"/>
  <c r="M22" i="7" s="1"/>
  <c r="P13" i="7" s="1"/>
  <c r="P14" i="7" s="1"/>
  <c r="P15" i="7" s="1"/>
  <c r="P16" i="7" s="1"/>
  <c r="P17" i="7" s="1"/>
  <c r="P18" i="7" s="1"/>
  <c r="P19" i="7" s="1"/>
  <c r="P20" i="7" s="1"/>
  <c r="P21" i="7" s="1"/>
  <c r="P22" i="7" s="1"/>
  <c r="S13" i="7" s="1"/>
  <c r="S14" i="7" s="1"/>
  <c r="S15" i="7" s="1"/>
  <c r="S16" i="7" s="1"/>
  <c r="S17" i="7" s="1"/>
  <c r="S18" i="7" s="1"/>
  <c r="S19" i="7" s="1"/>
  <c r="S20" i="7" s="1"/>
  <c r="S21" i="7" s="1"/>
  <c r="S22" i="7" s="1"/>
  <c r="V13" i="7" s="1"/>
  <c r="V14" i="7" s="1"/>
  <c r="V15" i="7" s="1"/>
  <c r="V16" i="7" s="1"/>
  <c r="V17" i="7" s="1"/>
  <c r="V18" i="7" s="1"/>
  <c r="V19" i="7" s="1"/>
  <c r="V20" i="7" s="1"/>
  <c r="V21" i="7" s="1"/>
  <c r="V22" i="7" s="1"/>
  <c r="D24" i="7" s="1"/>
  <c r="D25" i="7" s="1"/>
  <c r="D26" i="7" s="1"/>
  <c r="D27" i="7" s="1"/>
  <c r="D28" i="7" s="1"/>
  <c r="D29" i="7" s="1"/>
  <c r="D30" i="7" s="1"/>
  <c r="D31" i="7" s="1"/>
  <c r="D32" i="7" s="1"/>
  <c r="D33" i="7" s="1"/>
  <c r="G24" i="7" s="1"/>
  <c r="G25" i="7" s="1"/>
  <c r="G26" i="7" s="1"/>
  <c r="G27" i="7" s="1"/>
  <c r="G28" i="7" s="1"/>
  <c r="G29" i="7" s="1"/>
  <c r="G30" i="7" s="1"/>
  <c r="G31" i="7" s="1"/>
  <c r="G32" i="7" s="1"/>
  <c r="G33" i="7" s="1"/>
  <c r="J24" i="7" s="1"/>
  <c r="J25" i="7" s="1"/>
  <c r="J26" i="7" s="1"/>
  <c r="J27" i="7" s="1"/>
  <c r="J28" i="7" s="1"/>
  <c r="J29" i="7" s="1"/>
  <c r="J30" i="7" s="1"/>
  <c r="J31" i="7" s="1"/>
  <c r="J32" i="7" s="1"/>
  <c r="J33" i="7" s="1"/>
  <c r="M24" i="7" s="1"/>
  <c r="M25" i="7" s="1"/>
  <c r="M26" i="7" s="1"/>
  <c r="M27" i="7" s="1"/>
  <c r="M28" i="7" s="1"/>
  <c r="M29" i="7" s="1"/>
  <c r="M30" i="7" s="1"/>
  <c r="M31" i="7" s="1"/>
  <c r="M32" i="7" s="1"/>
  <c r="M33" i="7" s="1"/>
  <c r="P24" i="7" s="1"/>
  <c r="P25" i="7" s="1"/>
  <c r="P26" i="7" s="1"/>
  <c r="P27" i="7" s="1"/>
  <c r="P28" i="7" s="1"/>
  <c r="P29" i="7" s="1"/>
  <c r="P30" i="7" s="1"/>
  <c r="P31" i="7" s="1"/>
  <c r="P32" i="7" s="1"/>
  <c r="P33" i="7" s="1"/>
  <c r="S24" i="7" s="1"/>
  <c r="S25" i="7" s="1"/>
  <c r="S26" i="7" s="1"/>
  <c r="S27" i="7" s="1"/>
  <c r="S28" i="7" s="1"/>
  <c r="S29" i="7" s="1"/>
  <c r="S30" i="7" s="1"/>
  <c r="S31" i="7" s="1"/>
  <c r="S32" i="7" s="1"/>
  <c r="S33" i="7" s="1"/>
  <c r="V24" i="7" s="1"/>
  <c r="V25" i="7" s="1"/>
  <c r="V26" i="7" s="1"/>
  <c r="V27" i="7" s="1"/>
  <c r="V28" i="7" s="1"/>
  <c r="V29" i="7" s="1"/>
  <c r="V30" i="7" s="1"/>
  <c r="V31" i="7" s="1"/>
  <c r="V32" i="7" s="1"/>
  <c r="V33" i="7" s="1"/>
  <c r="D35" i="7" s="1"/>
  <c r="D36" i="7" s="1"/>
  <c r="D37" i="7" s="1"/>
  <c r="D38" i="7" s="1"/>
  <c r="D39" i="7" s="1"/>
  <c r="D40" i="7" s="1"/>
  <c r="D41" i="7" s="1"/>
  <c r="D42" i="7" s="1"/>
  <c r="D43" i="7" s="1"/>
  <c r="D44" i="7" s="1"/>
  <c r="G35" i="7" s="1"/>
  <c r="G36" i="7" s="1"/>
  <c r="G37" i="7" s="1"/>
  <c r="G38" i="7" s="1"/>
  <c r="G39" i="7" s="1"/>
  <c r="G40" i="7" s="1"/>
  <c r="G41" i="7" s="1"/>
  <c r="G42" i="7" s="1"/>
  <c r="G43" i="7" s="1"/>
  <c r="G44" i="7" s="1"/>
  <c r="J35" i="7" s="1"/>
  <c r="J36" i="7" s="1"/>
  <c r="J37" i="7" s="1"/>
  <c r="J38" i="7" s="1"/>
  <c r="J39" i="7" s="1"/>
  <c r="J40" i="7" s="1"/>
  <c r="J41" i="7" s="1"/>
  <c r="J42" i="7" s="1"/>
  <c r="J43" i="7" s="1"/>
  <c r="J44" i="7" s="1"/>
  <c r="M35" i="7" s="1"/>
  <c r="M36" i="7" s="1"/>
  <c r="M37" i="7" s="1"/>
  <c r="M38" i="7" s="1"/>
  <c r="M39" i="7" s="1"/>
  <c r="M40" i="7" s="1"/>
  <c r="M41" i="7" s="1"/>
  <c r="M42" i="7" s="1"/>
  <c r="M43" i="7" s="1"/>
  <c r="M44" i="7" s="1"/>
  <c r="P35" i="7" s="1"/>
  <c r="P36" i="7" s="1"/>
  <c r="P37" i="7" s="1"/>
  <c r="P38" i="7" s="1"/>
  <c r="P39" i="7" s="1"/>
  <c r="P40" i="7" s="1"/>
  <c r="P41" i="7" s="1"/>
  <c r="P42" i="7" s="1"/>
  <c r="P43" i="7" s="1"/>
  <c r="P44" i="7" s="1"/>
  <c r="S35" i="7" s="1"/>
  <c r="S36" i="7" s="1"/>
  <c r="S37" i="7" s="1"/>
  <c r="S38" i="7" s="1"/>
  <c r="S39" i="7" s="1"/>
  <c r="S40" i="7" s="1"/>
  <c r="S41" i="7" s="1"/>
  <c r="S42" i="7" s="1"/>
  <c r="S43" i="7" s="1"/>
  <c r="S44" i="7" s="1"/>
  <c r="V35" i="7" s="1"/>
  <c r="V36" i="7" s="1"/>
  <c r="V37" i="7" s="1"/>
  <c r="V38" i="7" s="1"/>
  <c r="V39" i="7" s="1"/>
  <c r="V40" i="7" s="1"/>
  <c r="V41" i="7" s="1"/>
  <c r="V42" i="7" s="1"/>
  <c r="V43" i="7" s="1"/>
  <c r="V44" i="7" s="1"/>
  <c r="D46" i="7" s="1"/>
  <c r="D47" i="7" s="1"/>
  <c r="D48" i="7" s="1"/>
  <c r="D49" i="7" s="1"/>
  <c r="D50" i="7" s="1"/>
  <c r="D51" i="7" s="1"/>
  <c r="D52" i="7" s="1"/>
  <c r="D53" i="7" s="1"/>
  <c r="D54" i="7" s="1"/>
  <c r="D55" i="7" s="1"/>
  <c r="D56" i="7" s="1"/>
  <c r="G46" i="7" s="1"/>
  <c r="G47" i="7" s="1"/>
  <c r="G48" i="7" s="1"/>
  <c r="G49" i="7" s="1"/>
  <c r="G50" i="7" s="1"/>
  <c r="G51" i="7" s="1"/>
  <c r="G52" i="7" s="1"/>
  <c r="G53" i="7" s="1"/>
  <c r="G54" i="7" s="1"/>
  <c r="G55" i="7" s="1"/>
  <c r="G56" i="7" s="1"/>
  <c r="J46" i="7" s="1"/>
  <c r="J47" i="7" s="1"/>
  <c r="J48" i="7" s="1"/>
  <c r="J49" i="7" s="1"/>
  <c r="J50" i="7" s="1"/>
  <c r="J51" i="7" s="1"/>
  <c r="J52" i="7" s="1"/>
  <c r="J53" i="7" s="1"/>
  <c r="J54" i="7" s="1"/>
  <c r="J55" i="7" s="1"/>
  <c r="J56" i="7" s="1"/>
  <c r="M46" i="7" s="1"/>
  <c r="M47" i="7" s="1"/>
  <c r="M48" i="7" s="1"/>
  <c r="M49" i="7" s="1"/>
  <c r="M50" i="7" s="1"/>
  <c r="M51" i="7" s="1"/>
  <c r="M52" i="7" s="1"/>
  <c r="M53" i="7" s="1"/>
  <c r="M54" i="7" s="1"/>
  <c r="M55" i="7" s="1"/>
  <c r="M56" i="7" s="1"/>
  <c r="P46" i="7" s="1"/>
  <c r="P47" i="7" s="1"/>
  <c r="P48" i="7" s="1"/>
  <c r="P49" i="7" s="1"/>
  <c r="P50" i="7" s="1"/>
  <c r="P51" i="7" s="1"/>
  <c r="P52" i="7" s="1"/>
  <c r="P53" i="7" s="1"/>
  <c r="P54" i="7" s="1"/>
  <c r="P55" i="7" s="1"/>
  <c r="P56" i="7" s="1"/>
  <c r="S46" i="7" s="1"/>
  <c r="S47" i="7" s="1"/>
  <c r="S48" i="7" s="1"/>
  <c r="S49" i="7" s="1"/>
  <c r="S50" i="7" s="1"/>
  <c r="S51" i="7" s="1"/>
  <c r="S52" i="7" s="1"/>
  <c r="S53" i="7" s="1"/>
  <c r="S54" i="7" s="1"/>
  <c r="S55" i="7" s="1"/>
  <c r="S56" i="7" s="1"/>
  <c r="V46" i="7" s="1"/>
  <c r="V47" i="7" s="1"/>
  <c r="V48" i="7" s="1"/>
  <c r="V49" i="7" s="1"/>
  <c r="V50" i="7" s="1"/>
  <c r="V51" i="7" s="1"/>
  <c r="V52" i="7" s="1"/>
  <c r="V53" i="7" s="1"/>
  <c r="V54" i="7" s="1"/>
  <c r="V55" i="7" s="1"/>
  <c r="V56" i="7" s="1"/>
  <c r="D58" i="7" s="1"/>
  <c r="D59" i="7" s="1"/>
  <c r="D60" i="7" s="1"/>
  <c r="D61" i="7" s="1"/>
  <c r="D62" i="7" s="1"/>
  <c r="D63" i="7" s="1"/>
  <c r="D64" i="7" s="1"/>
  <c r="D65" i="7" s="1"/>
  <c r="D66" i="7" s="1"/>
  <c r="G58" i="7" s="1"/>
  <c r="G59" i="7" s="1"/>
  <c r="G60" i="7" s="1"/>
  <c r="G61" i="7" s="1"/>
  <c r="G62" i="7" s="1"/>
  <c r="G63" i="7" s="1"/>
  <c r="G64" i="7" s="1"/>
  <c r="G65" i="7" s="1"/>
  <c r="G66" i="7" s="1"/>
  <c r="J58" i="7" s="1"/>
  <c r="J59" i="7" s="1"/>
  <c r="J60" i="7" s="1"/>
  <c r="J61" i="7" s="1"/>
  <c r="J62" i="7" s="1"/>
  <c r="J63" i="7" s="1"/>
  <c r="J64" i="7" s="1"/>
  <c r="J65" i="7" s="1"/>
  <c r="J66" i="7" s="1"/>
  <c r="M58" i="7" s="1"/>
  <c r="M59" i="7" s="1"/>
  <c r="M60" i="7" s="1"/>
  <c r="M61" i="7" s="1"/>
  <c r="M62" i="7" s="1"/>
  <c r="M63" i="7" s="1"/>
  <c r="M64" i="7" s="1"/>
  <c r="M65" i="7" s="1"/>
  <c r="M66" i="7" s="1"/>
  <c r="P58" i="7" s="1"/>
  <c r="P59" i="7" s="1"/>
  <c r="P60" i="7" s="1"/>
  <c r="P61" i="7" s="1"/>
  <c r="P62" i="7" s="1"/>
  <c r="P63" i="7" s="1"/>
  <c r="P64" i="7" s="1"/>
  <c r="P65" i="7" s="1"/>
  <c r="P66" i="7" s="1"/>
  <c r="S58" i="7" s="1"/>
  <c r="S59" i="7" s="1"/>
  <c r="S60" i="7" s="1"/>
  <c r="S61" i="7" s="1"/>
  <c r="S62" i="7" s="1"/>
  <c r="S63" i="7" s="1"/>
  <c r="S64" i="7" s="1"/>
  <c r="S65" i="7" s="1"/>
  <c r="S66" i="7" s="1"/>
  <c r="V58" i="7" s="1"/>
  <c r="V59" i="7" s="1"/>
  <c r="V60" i="7" s="1"/>
  <c r="V61" i="7" s="1"/>
  <c r="V62" i="7" s="1"/>
  <c r="V63" i="7" s="1"/>
  <c r="V64" i="7" s="1"/>
  <c r="V65" i="7" s="1"/>
  <c r="V66" i="7" s="1"/>
  <c r="D68" i="7" s="1"/>
  <c r="D69" i="7" s="1"/>
  <c r="D70" i="7" s="1"/>
  <c r="D71" i="7" s="1"/>
  <c r="D72" i="7" s="1"/>
  <c r="D73" i="7" s="1"/>
  <c r="D74" i="7" s="1"/>
  <c r="D75" i="7" s="1"/>
  <c r="D76" i="7" s="1"/>
  <c r="D77" i="7" s="1"/>
  <c r="D78" i="7" s="1"/>
  <c r="G68" i="7" s="1"/>
  <c r="G69" i="7" s="1"/>
  <c r="G70" i="7" s="1"/>
  <c r="G71" i="7" s="1"/>
  <c r="G72" i="7" s="1"/>
  <c r="G73" i="7" s="1"/>
  <c r="G74" i="7" s="1"/>
  <c r="G75" i="7" s="1"/>
  <c r="G76" i="7" s="1"/>
  <c r="G77" i="7" s="1"/>
  <c r="G78" i="7" s="1"/>
  <c r="J68" i="7" s="1"/>
  <c r="J69" i="7" s="1"/>
  <c r="J70" i="7" s="1"/>
  <c r="J71" i="7" s="1"/>
  <c r="J72" i="7" s="1"/>
  <c r="J73" i="7" s="1"/>
  <c r="J74" i="7" s="1"/>
  <c r="J75" i="7" s="1"/>
  <c r="J76" i="7" s="1"/>
  <c r="J77" i="7" s="1"/>
  <c r="J78" i="7" s="1"/>
  <c r="M68" i="7" s="1"/>
  <c r="M69" i="7" s="1"/>
  <c r="M70" i="7" s="1"/>
  <c r="M71" i="7" s="1"/>
  <c r="M72" i="7" s="1"/>
  <c r="M73" i="7" s="1"/>
  <c r="M74" i="7" s="1"/>
  <c r="M75" i="7" s="1"/>
  <c r="M76" i="7" s="1"/>
  <c r="M77" i="7" s="1"/>
  <c r="M78" i="7" s="1"/>
  <c r="P68" i="7" s="1"/>
  <c r="P69" i="7" s="1"/>
  <c r="P70" i="7" s="1"/>
  <c r="P71" i="7" s="1"/>
  <c r="P72" i="7" s="1"/>
  <c r="P73" i="7" s="1"/>
  <c r="P74" i="7" s="1"/>
  <c r="P75" i="7" s="1"/>
  <c r="P76" i="7" s="1"/>
  <c r="P77" i="7" s="1"/>
  <c r="P78" i="7" s="1"/>
  <c r="S68" i="7" s="1"/>
  <c r="S69" i="7" s="1"/>
  <c r="S70" i="7" s="1"/>
  <c r="S71" i="7" s="1"/>
  <c r="S72" i="7" s="1"/>
  <c r="S73" i="7" s="1"/>
  <c r="S74" i="7" s="1"/>
  <c r="S75" i="7" s="1"/>
  <c r="S76" i="7" s="1"/>
  <c r="S77" i="7" s="1"/>
  <c r="S78" i="7" s="1"/>
  <c r="V68" i="7" s="1"/>
  <c r="V69" i="7" s="1"/>
  <c r="V70" i="7" s="1"/>
  <c r="V71" i="7" s="1"/>
  <c r="V72" i="7" s="1"/>
  <c r="V73" i="7" s="1"/>
  <c r="V74" i="7" s="1"/>
  <c r="V75" i="7" s="1"/>
  <c r="V76" i="7" s="1"/>
  <c r="V77" i="7" s="1"/>
  <c r="V78" i="7" s="1"/>
  <c r="D80" i="7" s="1"/>
  <c r="D81" i="7" s="1"/>
  <c r="D82" i="7" s="1"/>
  <c r="D83" i="7" s="1"/>
  <c r="D84" i="7" s="1"/>
  <c r="D85" i="7" s="1"/>
  <c r="D86" i="7" s="1"/>
  <c r="D87" i="7" s="1"/>
  <c r="D88" i="7" s="1"/>
  <c r="D89" i="7" s="1"/>
  <c r="D90" i="7" s="1"/>
  <c r="G80" i="7" s="1"/>
  <c r="G81" i="7" s="1"/>
  <c r="G82" i="7" s="1"/>
  <c r="G83" i="7" s="1"/>
  <c r="G84" i="7" s="1"/>
  <c r="G85" i="7" s="1"/>
  <c r="G86" i="7" s="1"/>
  <c r="G87" i="7" s="1"/>
  <c r="G88" i="7" s="1"/>
  <c r="G89" i="7" s="1"/>
  <c r="G90" i="7" s="1"/>
  <c r="J80" i="7" s="1"/>
  <c r="J81" i="7" s="1"/>
  <c r="J82" i="7" s="1"/>
  <c r="J83" i="7" s="1"/>
  <c r="J84" i="7" s="1"/>
  <c r="J85" i="7" s="1"/>
  <c r="J86" i="7" s="1"/>
  <c r="J87" i="7" s="1"/>
  <c r="J88" i="7" s="1"/>
  <c r="J89" i="7" s="1"/>
  <c r="J90" i="7" s="1"/>
  <c r="M80" i="7" s="1"/>
  <c r="M81" i="7" s="1"/>
  <c r="M82" i="7" s="1"/>
  <c r="M83" i="7" s="1"/>
  <c r="M84" i="7" s="1"/>
  <c r="M85" i="7" s="1"/>
  <c r="M86" i="7" s="1"/>
  <c r="M87" i="7" s="1"/>
  <c r="M88" i="7" s="1"/>
  <c r="M89" i="7" s="1"/>
  <c r="M90" i="7" s="1"/>
  <c r="P80" i="7" s="1"/>
  <c r="P81" i="7" s="1"/>
  <c r="P82" i="7" s="1"/>
  <c r="P83" i="7" s="1"/>
  <c r="P84" i="7" s="1"/>
  <c r="P85" i="7" s="1"/>
  <c r="P86" i="7" s="1"/>
  <c r="P87" i="7" s="1"/>
  <c r="P88" i="7" s="1"/>
  <c r="P89" i="7" s="1"/>
  <c r="P90" i="7" s="1"/>
  <c r="S80" i="7" s="1"/>
  <c r="S81" i="7" s="1"/>
  <c r="S82" i="7" s="1"/>
  <c r="S83" i="7" s="1"/>
  <c r="S84" i="7" s="1"/>
  <c r="S85" i="7" s="1"/>
  <c r="S86" i="7" s="1"/>
  <c r="S87" i="7" s="1"/>
  <c r="S88" i="7" s="1"/>
  <c r="S89" i="7" s="1"/>
  <c r="S90" i="7" s="1"/>
  <c r="V80" i="7" s="1"/>
  <c r="V81" i="7" s="1"/>
  <c r="V82" i="7" s="1"/>
  <c r="V83" i="7" s="1"/>
  <c r="V84" i="7" s="1"/>
  <c r="V85" i="7" s="1"/>
  <c r="V86" i="7" s="1"/>
  <c r="V87" i="7" s="1"/>
  <c r="V88" i="7" s="1"/>
  <c r="V89" i="7" s="1"/>
  <c r="V90" i="7" s="1"/>
  <c r="D92" i="7" s="1"/>
  <c r="D93" i="7" s="1"/>
  <c r="D94" i="7" s="1"/>
  <c r="D95" i="7" s="1"/>
  <c r="D96" i="7" s="1"/>
  <c r="D97" i="7" s="1"/>
  <c r="D98" i="7" s="1"/>
  <c r="D99" i="7" s="1"/>
  <c r="D100" i="7" s="1"/>
  <c r="D101" i="7" s="1"/>
  <c r="D102" i="7" s="1"/>
  <c r="G92" i="7" s="1"/>
  <c r="G93" i="7" s="1"/>
  <c r="G94" i="7" s="1"/>
  <c r="G95" i="7" s="1"/>
  <c r="G96" i="7" s="1"/>
  <c r="G97" i="7" s="1"/>
  <c r="G98" i="7" s="1"/>
  <c r="G99" i="7" s="1"/>
  <c r="G100" i="7" s="1"/>
  <c r="G101" i="7" s="1"/>
  <c r="G102" i="7" s="1"/>
  <c r="J92" i="7" s="1"/>
  <c r="J93" i="7" s="1"/>
  <c r="J94" i="7" s="1"/>
  <c r="J95" i="7" s="1"/>
  <c r="J96" i="7" s="1"/>
  <c r="J97" i="7" s="1"/>
  <c r="J98" i="7" s="1"/>
  <c r="J99" i="7" s="1"/>
  <c r="J100" i="7" s="1"/>
  <c r="J101" i="7" s="1"/>
  <c r="J102" i="7" s="1"/>
  <c r="M92" i="7" s="1"/>
  <c r="M93" i="7" s="1"/>
  <c r="M94" i="7" s="1"/>
  <c r="M95" i="7" s="1"/>
  <c r="M96" i="7" s="1"/>
  <c r="M97" i="7" s="1"/>
  <c r="M98" i="7" s="1"/>
  <c r="M99" i="7" s="1"/>
  <c r="M100" i="7" s="1"/>
  <c r="M101" i="7" s="1"/>
  <c r="M102" i="7" s="1"/>
  <c r="P92" i="7" s="1"/>
  <c r="P93" i="7" s="1"/>
  <c r="P94" i="7" s="1"/>
  <c r="P95" i="7" s="1"/>
  <c r="P96" i="7" s="1"/>
  <c r="P97" i="7" s="1"/>
  <c r="P98" i="7" s="1"/>
  <c r="P99" i="7" s="1"/>
  <c r="P100" i="7" s="1"/>
  <c r="P101" i="7" s="1"/>
  <c r="P102" i="7" s="1"/>
  <c r="S92" i="7" s="1"/>
  <c r="S93" i="7" s="1"/>
  <c r="S94" i="7" s="1"/>
  <c r="S95" i="7" s="1"/>
  <c r="S96" i="7" s="1"/>
  <c r="S97" i="7" s="1"/>
  <c r="S98" i="7" s="1"/>
  <c r="S99" i="7" s="1"/>
  <c r="S100" i="7" s="1"/>
  <c r="S101" i="7" s="1"/>
  <c r="S102" i="7" s="1"/>
  <c r="V92" i="7" s="1"/>
  <c r="V93" i="7" s="1"/>
  <c r="V94" i="7" s="1"/>
  <c r="V95" i="7" s="1"/>
  <c r="V96" i="7" s="1"/>
  <c r="V97" i="7" s="1"/>
  <c r="V98" i="7" s="1"/>
  <c r="V99" i="7" s="1"/>
  <c r="V100" i="7" s="1"/>
  <c r="V101" i="7" s="1"/>
  <c r="V102" i="7" s="1"/>
  <c r="D104" i="7" s="1"/>
  <c r="D105" i="7" s="1"/>
  <c r="D106" i="7" s="1"/>
  <c r="D107" i="7" s="1"/>
  <c r="D108" i="7" s="1"/>
  <c r="D109" i="7" s="1"/>
  <c r="D110" i="7" s="1"/>
  <c r="D111" i="7" s="1"/>
  <c r="D112" i="7" s="1"/>
  <c r="D113" i="7" s="1"/>
  <c r="D114" i="7" s="1"/>
  <c r="G104" i="7" s="1"/>
  <c r="G105" i="7" s="1"/>
  <c r="G106" i="7" s="1"/>
  <c r="G107" i="7" s="1"/>
  <c r="G108" i="7" s="1"/>
  <c r="G109" i="7" s="1"/>
  <c r="G110" i="7" s="1"/>
  <c r="G111" i="7" s="1"/>
  <c r="G112" i="7" s="1"/>
  <c r="G113" i="7" s="1"/>
  <c r="G114" i="7" s="1"/>
  <c r="J104" i="7" s="1"/>
  <c r="J105" i="7" s="1"/>
  <c r="J106" i="7" s="1"/>
  <c r="J107" i="7" s="1"/>
  <c r="J108" i="7" s="1"/>
  <c r="J109" i="7" s="1"/>
  <c r="J110" i="7" s="1"/>
  <c r="J111" i="7" s="1"/>
  <c r="J112" i="7" s="1"/>
  <c r="J113" i="7" s="1"/>
  <c r="J114" i="7" s="1"/>
  <c r="M104" i="7" s="1"/>
  <c r="M105" i="7" s="1"/>
  <c r="M106" i="7" s="1"/>
  <c r="M107" i="7" s="1"/>
  <c r="M108" i="7" s="1"/>
  <c r="M109" i="7" s="1"/>
  <c r="M110" i="7" s="1"/>
  <c r="M111" i="7" s="1"/>
  <c r="M112" i="7" s="1"/>
  <c r="M113" i="7" s="1"/>
  <c r="M114" i="7" s="1"/>
  <c r="P104" i="7" s="1"/>
  <c r="P105" i="7" s="1"/>
  <c r="P106" i="7" s="1"/>
  <c r="P107" i="7" s="1"/>
  <c r="P108" i="7" s="1"/>
  <c r="P109" i="7" s="1"/>
  <c r="P110" i="7" s="1"/>
  <c r="P111" i="7" s="1"/>
  <c r="P112" i="7" s="1"/>
  <c r="P113" i="7" s="1"/>
  <c r="P114" i="7" s="1"/>
  <c r="S104" i="7" s="1"/>
  <c r="S105" i="7" s="1"/>
  <c r="S106" i="7" s="1"/>
  <c r="S107" i="7" s="1"/>
  <c r="S108" i="7" s="1"/>
  <c r="S109" i="7" s="1"/>
  <c r="S110" i="7" s="1"/>
  <c r="S111" i="7" s="1"/>
  <c r="S112" i="7" s="1"/>
  <c r="S113" i="7" s="1"/>
  <c r="S114" i="7" s="1"/>
  <c r="V104" i="7" s="1"/>
  <c r="V105" i="7" s="1"/>
  <c r="V106" i="7" s="1"/>
  <c r="V107" i="7" s="1"/>
  <c r="V108" i="7" s="1"/>
  <c r="V109" i="7" s="1"/>
  <c r="V110" i="7" s="1"/>
  <c r="V111" i="7" s="1"/>
  <c r="V112" i="7" s="1"/>
  <c r="V113" i="7" s="1"/>
  <c r="V114" i="7" s="1"/>
  <c r="D116" i="7" s="1"/>
  <c r="D117" i="7" s="1"/>
  <c r="D118" i="7" s="1"/>
  <c r="D119" i="7" s="1"/>
  <c r="D120" i="7" s="1"/>
  <c r="D121" i="7" s="1"/>
  <c r="D122" i="7" s="1"/>
  <c r="D123" i="7" s="1"/>
  <c r="D124" i="7" s="1"/>
  <c r="D125" i="7" s="1"/>
  <c r="D126" i="7" s="1"/>
  <c r="G116" i="7" s="1"/>
  <c r="G117" i="7" s="1"/>
  <c r="G118" i="7" s="1"/>
  <c r="G119" i="7" s="1"/>
  <c r="G120" i="7" s="1"/>
  <c r="G121" i="7" s="1"/>
  <c r="G122" i="7" s="1"/>
  <c r="G123" i="7" s="1"/>
  <c r="G124" i="7" s="1"/>
  <c r="G125" i="7" s="1"/>
  <c r="G126" i="7" s="1"/>
  <c r="J116" i="7" s="1"/>
  <c r="J117" i="7" s="1"/>
  <c r="J118" i="7" s="1"/>
  <c r="J119" i="7" s="1"/>
  <c r="J120" i="7" s="1"/>
  <c r="J121" i="7" s="1"/>
  <c r="J122" i="7" s="1"/>
  <c r="J123" i="7" s="1"/>
  <c r="J124" i="7" s="1"/>
  <c r="J125" i="7" s="1"/>
  <c r="J126" i="7" s="1"/>
  <c r="M116" i="7" s="1"/>
  <c r="M117" i="7" s="1"/>
  <c r="M118" i="7" s="1"/>
  <c r="M119" i="7" s="1"/>
  <c r="M120" i="7" s="1"/>
  <c r="M121" i="7" s="1"/>
  <c r="M122" i="7" s="1"/>
  <c r="M123" i="7" s="1"/>
  <c r="M124" i="7" s="1"/>
  <c r="M125" i="7" s="1"/>
  <c r="M126" i="7" s="1"/>
  <c r="P116" i="7" s="1"/>
  <c r="P117" i="7" s="1"/>
  <c r="P118" i="7" s="1"/>
  <c r="P119" i="7" s="1"/>
  <c r="P120" i="7" s="1"/>
  <c r="P121" i="7" s="1"/>
  <c r="P122" i="7" s="1"/>
  <c r="P123" i="7" s="1"/>
  <c r="P124" i="7" s="1"/>
  <c r="P125" i="7" s="1"/>
  <c r="P126" i="7" s="1"/>
  <c r="S116" i="7" s="1"/>
  <c r="S117" i="7" s="1"/>
  <c r="S118" i="7" s="1"/>
  <c r="S119" i="7" s="1"/>
  <c r="S120" i="7" s="1"/>
  <c r="S121" i="7" s="1"/>
  <c r="S122" i="7" s="1"/>
  <c r="S123" i="7" s="1"/>
  <c r="S124" i="7" s="1"/>
  <c r="S125" i="7" s="1"/>
  <c r="S126" i="7" s="1"/>
  <c r="V116" i="7" s="1"/>
  <c r="V117" i="7" s="1"/>
  <c r="V118" i="7" s="1"/>
  <c r="V119" i="7" s="1"/>
  <c r="V120" i="7" s="1"/>
  <c r="V121" i="7" s="1"/>
  <c r="V122" i="7" s="1"/>
  <c r="V123" i="7" s="1"/>
  <c r="V124" i="7" s="1"/>
  <c r="V125" i="7" s="1"/>
  <c r="V126" i="7" s="1"/>
  <c r="D128" i="7" s="1"/>
  <c r="D129" i="7" s="1"/>
  <c r="D130" i="7" s="1"/>
  <c r="D131" i="7" s="1"/>
  <c r="D132" i="7" s="1"/>
  <c r="D133" i="7" s="1"/>
  <c r="D134" i="7" s="1"/>
  <c r="D135" i="7" s="1"/>
  <c r="D136" i="7" s="1"/>
  <c r="D137" i="7" s="1"/>
  <c r="D138" i="7" s="1"/>
  <c r="G128" i="7" s="1"/>
  <c r="G129" i="7" s="1"/>
  <c r="G130" i="7" s="1"/>
  <c r="G131" i="7" s="1"/>
  <c r="G132" i="7" s="1"/>
  <c r="G133" i="7" s="1"/>
  <c r="G134" i="7" s="1"/>
  <c r="G135" i="7" s="1"/>
  <c r="G136" i="7" s="1"/>
  <c r="G137" i="7" s="1"/>
  <c r="G138" i="7" s="1"/>
  <c r="J128" i="7" s="1"/>
  <c r="J129" i="7" s="1"/>
  <c r="J130" i="7" s="1"/>
  <c r="J131" i="7" s="1"/>
  <c r="J132" i="7" s="1"/>
  <c r="J133" i="7" s="1"/>
  <c r="J134" i="7" s="1"/>
  <c r="J135" i="7" s="1"/>
  <c r="J136" i="7" s="1"/>
  <c r="J137" i="7" s="1"/>
  <c r="J138" i="7" s="1"/>
  <c r="M128" i="7" s="1"/>
  <c r="M129" i="7" s="1"/>
  <c r="M130" i="7" s="1"/>
  <c r="M131" i="7" s="1"/>
  <c r="M132" i="7" s="1"/>
  <c r="M133" i="7" s="1"/>
  <c r="M134" i="7" s="1"/>
  <c r="M135" i="7" s="1"/>
  <c r="M136" i="7" s="1"/>
  <c r="M137" i="7" s="1"/>
  <c r="M138" i="7" s="1"/>
  <c r="P128" i="7" s="1"/>
  <c r="P129" i="7" s="1"/>
  <c r="P130" i="7" s="1"/>
  <c r="P131" i="7" s="1"/>
  <c r="P132" i="7" s="1"/>
  <c r="P133" i="7" s="1"/>
  <c r="P134" i="7" s="1"/>
  <c r="P135" i="7" s="1"/>
  <c r="P136" i="7" s="1"/>
  <c r="P137" i="7" s="1"/>
  <c r="P138" i="7" s="1"/>
  <c r="S128" i="7" s="1"/>
  <c r="S129" i="7" s="1"/>
  <c r="S130" i="7" s="1"/>
  <c r="S131" i="7" s="1"/>
  <c r="S132" i="7" s="1"/>
  <c r="S133" i="7" s="1"/>
  <c r="S134" i="7" s="1"/>
  <c r="S135" i="7" s="1"/>
  <c r="S136" i="7" s="1"/>
  <c r="S137" i="7" s="1"/>
  <c r="S138" i="7" s="1"/>
  <c r="V128" i="7" s="1"/>
  <c r="V129" i="7" s="1"/>
  <c r="V130" i="7" s="1"/>
  <c r="V131" i="7" s="1"/>
  <c r="V132" i="7" s="1"/>
  <c r="V133" i="7" s="1"/>
  <c r="V134" i="7" s="1"/>
  <c r="V135" i="7" s="1"/>
  <c r="V136" i="7" s="1"/>
  <c r="V137" i="7" s="1"/>
  <c r="V138" i="7" s="1"/>
  <c r="D140" i="7" s="1"/>
  <c r="D141" i="7" s="1"/>
  <c r="D142" i="7" s="1"/>
  <c r="D143" i="7" s="1"/>
  <c r="D144" i="7" s="1"/>
  <c r="D145" i="7" s="1"/>
  <c r="D146" i="7" s="1"/>
  <c r="D147" i="7" s="1"/>
  <c r="D148" i="7" s="1"/>
  <c r="D149" i="7" s="1"/>
  <c r="D150" i="7" s="1"/>
  <c r="G140" i="7" s="1"/>
  <c r="G141" i="7" s="1"/>
  <c r="G142" i="7" s="1"/>
  <c r="G143" i="7" s="1"/>
  <c r="G144" i="7" s="1"/>
  <c r="G145" i="7" s="1"/>
  <c r="G146" i="7" s="1"/>
  <c r="G147" i="7" s="1"/>
  <c r="G148" i="7" s="1"/>
  <c r="G149" i="7" s="1"/>
  <c r="G150" i="7" s="1"/>
  <c r="J140" i="7" s="1"/>
  <c r="J141" i="7" s="1"/>
  <c r="J142" i="7" s="1"/>
  <c r="J143" i="7" s="1"/>
  <c r="J144" i="7" s="1"/>
  <c r="J145" i="7" s="1"/>
  <c r="J146" i="7" s="1"/>
  <c r="J147" i="7" s="1"/>
  <c r="J148" i="7" s="1"/>
  <c r="J149" i="7" s="1"/>
  <c r="J150" i="7" s="1"/>
  <c r="M140" i="7" s="1"/>
  <c r="M141" i="7" s="1"/>
  <c r="M142" i="7" s="1"/>
  <c r="M143" i="7" s="1"/>
  <c r="M144" i="7" s="1"/>
  <c r="M145" i="7" s="1"/>
  <c r="M146" i="7" s="1"/>
  <c r="M147" i="7" s="1"/>
  <c r="M148" i="7" s="1"/>
  <c r="M149" i="7" s="1"/>
  <c r="M150" i="7" s="1"/>
  <c r="P140" i="7" s="1"/>
  <c r="P141" i="7" s="1"/>
  <c r="P142" i="7" s="1"/>
  <c r="P143" i="7" s="1"/>
  <c r="P144" i="7" s="1"/>
  <c r="P145" i="7" s="1"/>
  <c r="P146" i="7" s="1"/>
  <c r="P147" i="7" s="1"/>
  <c r="P148" i="7" s="1"/>
  <c r="P149" i="7" s="1"/>
  <c r="P150" i="7" s="1"/>
  <c r="S140" i="7" s="1"/>
  <c r="S141" i="7" s="1"/>
  <c r="S142" i="7" s="1"/>
  <c r="S143" i="7" s="1"/>
  <c r="S144" i="7" s="1"/>
  <c r="S145" i="7" s="1"/>
  <c r="S146" i="7" s="1"/>
  <c r="S147" i="7" s="1"/>
  <c r="S148" i="7" s="1"/>
  <c r="S149" i="7" s="1"/>
  <c r="S150" i="7" s="1"/>
  <c r="V140" i="7" s="1"/>
  <c r="V141" i="7" s="1"/>
  <c r="V142" i="7" s="1"/>
  <c r="V143" i="7" s="1"/>
  <c r="V144" i="7" s="1"/>
  <c r="V145" i="7" s="1"/>
  <c r="V146" i="7" s="1"/>
  <c r="V147" i="7" s="1"/>
  <c r="V148" i="7" s="1"/>
  <c r="V149" i="7" s="1"/>
  <c r="V150" i="7" s="1"/>
  <c r="D152" i="7" s="1"/>
  <c r="D153" i="7" s="1"/>
  <c r="D154" i="7" s="1"/>
  <c r="D155" i="7" s="1"/>
  <c r="D156" i="7" s="1"/>
  <c r="D157" i="7" s="1"/>
  <c r="D158" i="7" s="1"/>
  <c r="D159" i="7" s="1"/>
  <c r="D160" i="7" s="1"/>
  <c r="D161" i="7" s="1"/>
  <c r="D162" i="7" s="1"/>
  <c r="G152" i="7" s="1"/>
  <c r="G153" i="7" s="1"/>
  <c r="G154" i="7" s="1"/>
  <c r="G155" i="7" s="1"/>
  <c r="G156" i="7" s="1"/>
  <c r="G157" i="7" s="1"/>
  <c r="G158" i="7" s="1"/>
  <c r="G159" i="7" s="1"/>
  <c r="G160" i="7" s="1"/>
  <c r="G161" i="7" s="1"/>
  <c r="G162" i="7" s="1"/>
  <c r="J152" i="7" s="1"/>
  <c r="J153" i="7" s="1"/>
  <c r="J154" i="7" s="1"/>
  <c r="J155" i="7" s="1"/>
  <c r="J156" i="7" s="1"/>
  <c r="J157" i="7" s="1"/>
  <c r="J158" i="7" s="1"/>
  <c r="J159" i="7" s="1"/>
  <c r="J160" i="7" s="1"/>
  <c r="J161" i="7" s="1"/>
  <c r="J162" i="7" s="1"/>
  <c r="M152" i="7" s="1"/>
  <c r="M153" i="7" s="1"/>
  <c r="M154" i="7" s="1"/>
  <c r="M155" i="7" s="1"/>
  <c r="M156" i="7" s="1"/>
  <c r="M157" i="7" s="1"/>
  <c r="M158" i="7" s="1"/>
  <c r="M159" i="7" s="1"/>
  <c r="M160" i="7" s="1"/>
  <c r="M161" i="7" s="1"/>
  <c r="M162" i="7" s="1"/>
  <c r="P152" i="7" s="1"/>
  <c r="P153" i="7" s="1"/>
  <c r="P154" i="7" s="1"/>
  <c r="P155" i="7" s="1"/>
  <c r="P156" i="7" s="1"/>
  <c r="P157" i="7" s="1"/>
  <c r="P158" i="7" s="1"/>
  <c r="P159" i="7" s="1"/>
  <c r="P160" i="7" s="1"/>
  <c r="P161" i="7" s="1"/>
  <c r="P162" i="7" s="1"/>
  <c r="S152" i="7" s="1"/>
  <c r="S153" i="7" s="1"/>
  <c r="S154" i="7" s="1"/>
  <c r="S155" i="7" s="1"/>
  <c r="S156" i="7" s="1"/>
  <c r="S157" i="7" s="1"/>
  <c r="S158" i="7" s="1"/>
  <c r="S159" i="7" s="1"/>
  <c r="S160" i="7" s="1"/>
  <c r="S161" i="7" s="1"/>
  <c r="S162" i="7" s="1"/>
  <c r="V152" i="7" s="1"/>
  <c r="V153" i="7" s="1"/>
  <c r="V154" i="7" s="1"/>
  <c r="V155" i="7" s="1"/>
  <c r="V156" i="7" s="1"/>
  <c r="V157" i="7" s="1"/>
  <c r="V158" i="7" s="1"/>
  <c r="V159" i="7" s="1"/>
  <c r="V160" i="7" s="1"/>
  <c r="V161" i="7" s="1"/>
  <c r="V162" i="7" s="1"/>
  <c r="D164" i="7" s="1"/>
  <c r="D165" i="7" s="1"/>
  <c r="D166" i="7" s="1"/>
  <c r="D167" i="7" s="1"/>
  <c r="D168" i="7" s="1"/>
  <c r="D169" i="7" s="1"/>
  <c r="D170" i="7" s="1"/>
  <c r="D171" i="7" s="1"/>
  <c r="D172" i="7" s="1"/>
  <c r="D173" i="7" s="1"/>
  <c r="D174" i="7" s="1"/>
  <c r="G164" i="7" s="1"/>
  <c r="G165" i="7" s="1"/>
  <c r="G166" i="7" s="1"/>
  <c r="G167" i="7" s="1"/>
  <c r="G168" i="7" s="1"/>
  <c r="G169" i="7" s="1"/>
  <c r="G170" i="7" s="1"/>
  <c r="G171" i="7" s="1"/>
  <c r="G172" i="7" s="1"/>
  <c r="G173" i="7" s="1"/>
  <c r="G174" i="7" s="1"/>
  <c r="J164" i="7" s="1"/>
  <c r="J165" i="7" s="1"/>
  <c r="J166" i="7" s="1"/>
  <c r="J167" i="7" s="1"/>
  <c r="J168" i="7" s="1"/>
  <c r="J169" i="7" s="1"/>
  <c r="J170" i="7" s="1"/>
  <c r="J171" i="7" s="1"/>
  <c r="J172" i="7" s="1"/>
  <c r="J173" i="7" s="1"/>
  <c r="J174" i="7" s="1"/>
  <c r="M164" i="7" s="1"/>
  <c r="M165" i="7" s="1"/>
  <c r="M166" i="7" s="1"/>
  <c r="M167" i="7" s="1"/>
  <c r="M168" i="7" s="1"/>
  <c r="M169" i="7" s="1"/>
  <c r="M170" i="7" s="1"/>
  <c r="M171" i="7" s="1"/>
  <c r="M172" i="7" s="1"/>
  <c r="M173" i="7" s="1"/>
  <c r="M174" i="7" s="1"/>
  <c r="P164" i="7" s="1"/>
  <c r="P165" i="7" s="1"/>
  <c r="P166" i="7" s="1"/>
  <c r="P167" i="7" s="1"/>
  <c r="P168" i="7" s="1"/>
  <c r="P169" i="7" s="1"/>
  <c r="P170" i="7" s="1"/>
  <c r="P171" i="7" s="1"/>
  <c r="P172" i="7" s="1"/>
  <c r="P173" i="7" s="1"/>
  <c r="P174" i="7" s="1"/>
  <c r="S164" i="7" s="1"/>
  <c r="S165" i="7" s="1"/>
  <c r="S166" i="7" s="1"/>
  <c r="S167" i="7" s="1"/>
  <c r="S168" i="7" s="1"/>
  <c r="S169" i="7" s="1"/>
  <c r="S170" i="7" s="1"/>
  <c r="S171" i="7" s="1"/>
  <c r="S172" i="7" s="1"/>
  <c r="S173" i="7" s="1"/>
  <c r="S174" i="7" s="1"/>
  <c r="V164" i="7" s="1"/>
  <c r="V165" i="7" s="1"/>
  <c r="V166" i="7" s="1"/>
  <c r="V167" i="7" s="1"/>
  <c r="V168" i="7" s="1"/>
  <c r="V169" i="7" s="1"/>
  <c r="V170" i="7" s="1"/>
  <c r="V171" i="7" s="1"/>
  <c r="V172" i="7" s="1"/>
  <c r="V173" i="7" s="1"/>
  <c r="V174" i="7" s="1"/>
  <c r="D176" i="7" s="1"/>
  <c r="D177" i="7" s="1"/>
  <c r="D178" i="7" s="1"/>
  <c r="D179" i="7" s="1"/>
  <c r="D180" i="7" s="1"/>
  <c r="D181" i="7" s="1"/>
  <c r="D182" i="7" s="1"/>
  <c r="D183" i="7" s="1"/>
  <c r="D184" i="7" s="1"/>
  <c r="D185" i="7" s="1"/>
  <c r="D186" i="7" s="1"/>
  <c r="G176" i="7" s="1"/>
  <c r="G177" i="7" s="1"/>
  <c r="G178" i="7" s="1"/>
  <c r="G179" i="7" s="1"/>
  <c r="G180" i="7" s="1"/>
  <c r="G181" i="7" s="1"/>
  <c r="G182" i="7" s="1"/>
  <c r="G183" i="7" s="1"/>
  <c r="G184" i="7" s="1"/>
  <c r="G185" i="7" s="1"/>
  <c r="G186" i="7" s="1"/>
  <c r="J176" i="7" s="1"/>
  <c r="J177" i="7" s="1"/>
  <c r="J178" i="7" s="1"/>
  <c r="J179" i="7" s="1"/>
  <c r="J180" i="7" s="1"/>
  <c r="J181" i="7" s="1"/>
  <c r="J182" i="7" s="1"/>
  <c r="J183" i="7" s="1"/>
  <c r="J184" i="7" s="1"/>
  <c r="J185" i="7" s="1"/>
  <c r="J186" i="7" s="1"/>
  <c r="M176" i="7" s="1"/>
  <c r="M177" i="7" s="1"/>
  <c r="M178" i="7" s="1"/>
  <c r="M179" i="7" s="1"/>
  <c r="M180" i="7" s="1"/>
  <c r="M181" i="7" s="1"/>
  <c r="M182" i="7" s="1"/>
  <c r="M183" i="7" s="1"/>
  <c r="M184" i="7" s="1"/>
  <c r="M185" i="7" s="1"/>
  <c r="M186" i="7" s="1"/>
  <c r="P176" i="7" s="1"/>
  <c r="P177" i="7" s="1"/>
  <c r="P178" i="7" s="1"/>
  <c r="P179" i="7" s="1"/>
  <c r="P180" i="7" s="1"/>
  <c r="P181" i="7" s="1"/>
  <c r="P182" i="7" s="1"/>
  <c r="P183" i="7" s="1"/>
  <c r="P184" i="7" s="1"/>
  <c r="P185" i="7" s="1"/>
  <c r="P186" i="7" s="1"/>
  <c r="S176" i="7" s="1"/>
  <c r="S177" i="7" s="1"/>
  <c r="S178" i="7" s="1"/>
  <c r="S179" i="7" s="1"/>
  <c r="S180" i="7" s="1"/>
  <c r="S181" i="7" s="1"/>
  <c r="S182" i="7" s="1"/>
  <c r="S183" i="7" s="1"/>
  <c r="S184" i="7" s="1"/>
  <c r="S185" i="7" s="1"/>
  <c r="S186" i="7" s="1"/>
  <c r="V176" i="7" s="1"/>
  <c r="V177" i="7" s="1"/>
  <c r="V178" i="7" s="1"/>
  <c r="V179" i="7" s="1"/>
  <c r="V180" i="7" s="1"/>
  <c r="V181" i="7" s="1"/>
  <c r="V182" i="7" s="1"/>
  <c r="V183" i="7" s="1"/>
  <c r="V184" i="7" s="1"/>
  <c r="V185" i="7" s="1"/>
  <c r="V186" i="7" s="1"/>
  <c r="D188" i="7" s="1"/>
  <c r="D189" i="7" s="1"/>
  <c r="D190" i="7" s="1"/>
  <c r="D191" i="7" s="1"/>
  <c r="D192" i="7" s="1"/>
  <c r="D193" i="7" s="1"/>
  <c r="D194" i="7" s="1"/>
  <c r="D195" i="7" s="1"/>
  <c r="D196" i="7" s="1"/>
  <c r="D197" i="7" s="1"/>
  <c r="D198" i="7" s="1"/>
  <c r="G188" i="7" s="1"/>
  <c r="G189" i="7" s="1"/>
  <c r="G190" i="7" s="1"/>
  <c r="G191" i="7" s="1"/>
  <c r="G192" i="7" s="1"/>
  <c r="G193" i="7" s="1"/>
  <c r="G194" i="7" s="1"/>
  <c r="G195" i="7" s="1"/>
  <c r="G196" i="7" s="1"/>
  <c r="G197" i="7" s="1"/>
  <c r="G198" i="7" s="1"/>
  <c r="J188" i="7" s="1"/>
  <c r="J189" i="7" s="1"/>
  <c r="J190" i="7" s="1"/>
  <c r="J191" i="7" s="1"/>
  <c r="J192" i="7" s="1"/>
  <c r="J193" i="7" s="1"/>
  <c r="J194" i="7" s="1"/>
  <c r="J195" i="7" s="1"/>
  <c r="J196" i="7" s="1"/>
  <c r="J197" i="7" s="1"/>
  <c r="J198" i="7" s="1"/>
  <c r="M188" i="7" s="1"/>
  <c r="M189" i="7" s="1"/>
  <c r="M190" i="7" s="1"/>
  <c r="M191" i="7" s="1"/>
  <c r="M192" i="7" s="1"/>
  <c r="M193" i="7" s="1"/>
  <c r="M194" i="7" s="1"/>
  <c r="M195" i="7" s="1"/>
  <c r="M196" i="7" s="1"/>
  <c r="M197" i="7" s="1"/>
  <c r="M198" i="7" s="1"/>
  <c r="P188" i="7" s="1"/>
  <c r="P189" i="7" s="1"/>
  <c r="P190" i="7" s="1"/>
  <c r="P191" i="7" s="1"/>
  <c r="P192" i="7" s="1"/>
  <c r="P193" i="7" s="1"/>
  <c r="P194" i="7" s="1"/>
  <c r="P195" i="7" s="1"/>
  <c r="P196" i="7" s="1"/>
  <c r="P197" i="7" s="1"/>
  <c r="P198" i="7" s="1"/>
  <c r="S188" i="7" s="1"/>
  <c r="S189" i="7" s="1"/>
  <c r="S190" i="7" s="1"/>
  <c r="S191" i="7" s="1"/>
  <c r="S192" i="7" s="1"/>
  <c r="S193" i="7" s="1"/>
  <c r="S194" i="7" s="1"/>
  <c r="S195" i="7" s="1"/>
  <c r="S196" i="7" s="1"/>
  <c r="S197" i="7" s="1"/>
  <c r="S198" i="7" s="1"/>
  <c r="V188" i="7" s="1"/>
  <c r="V189" i="7" s="1"/>
  <c r="V190" i="7" s="1"/>
  <c r="V191" i="7" s="1"/>
  <c r="V192" i="7" s="1"/>
  <c r="V193" i="7" s="1"/>
  <c r="V194" i="7" s="1"/>
  <c r="V195" i="7" s="1"/>
  <c r="V196" i="7" s="1"/>
  <c r="V197" i="7" s="1"/>
  <c r="V198" i="7" s="1"/>
  <c r="D200" i="7" s="1"/>
  <c r="D201" i="7" s="1"/>
  <c r="D202" i="7" s="1"/>
  <c r="D203" i="7" s="1"/>
  <c r="D204" i="7" s="1"/>
  <c r="D205" i="7" s="1"/>
  <c r="D206" i="7" s="1"/>
  <c r="D207" i="7" s="1"/>
  <c r="D208" i="7" s="1"/>
  <c r="D209" i="7" s="1"/>
  <c r="D210" i="7" s="1"/>
  <c r="G200" i="7" s="1"/>
  <c r="G201" i="7" s="1"/>
  <c r="G202" i="7" s="1"/>
  <c r="G203" i="7" s="1"/>
  <c r="G204" i="7" s="1"/>
  <c r="G205" i="7" s="1"/>
  <c r="G206" i="7" s="1"/>
  <c r="G207" i="7" s="1"/>
  <c r="G208" i="7" s="1"/>
  <c r="G209" i="7" s="1"/>
  <c r="G210" i="7" s="1"/>
  <c r="J200" i="7" s="1"/>
  <c r="J201" i="7" s="1"/>
  <c r="J202" i="7" s="1"/>
  <c r="J203" i="7" s="1"/>
  <c r="J204" i="7" s="1"/>
  <c r="J205" i="7" s="1"/>
  <c r="J206" i="7" s="1"/>
  <c r="J207" i="7" s="1"/>
  <c r="J208" i="7" s="1"/>
  <c r="J209" i="7" s="1"/>
  <c r="J210" i="7" s="1"/>
  <c r="M200" i="7" s="1"/>
  <c r="M201" i="7" s="1"/>
  <c r="M202" i="7" s="1"/>
  <c r="M203" i="7" s="1"/>
  <c r="M204" i="7" s="1"/>
  <c r="M205" i="7" s="1"/>
  <c r="M206" i="7" s="1"/>
  <c r="M207" i="7" s="1"/>
  <c r="M208" i="7" s="1"/>
  <c r="M209" i="7" s="1"/>
  <c r="M210" i="7" s="1"/>
  <c r="P200" i="7" s="1"/>
  <c r="P201" i="7" s="1"/>
  <c r="P202" i="7" s="1"/>
  <c r="P203" i="7" s="1"/>
  <c r="P204" i="7" s="1"/>
  <c r="P205" i="7" s="1"/>
  <c r="P206" i="7" s="1"/>
  <c r="P207" i="7" s="1"/>
  <c r="P208" i="7" s="1"/>
  <c r="P209" i="7" s="1"/>
  <c r="P210" i="7" s="1"/>
  <c r="S200" i="7" s="1"/>
  <c r="S201" i="7" s="1"/>
  <c r="S202" i="7" s="1"/>
  <c r="S203" i="7" s="1"/>
  <c r="S204" i="7" s="1"/>
  <c r="S205" i="7" s="1"/>
  <c r="S206" i="7" s="1"/>
  <c r="S207" i="7" s="1"/>
  <c r="S208" i="7" s="1"/>
  <c r="S209" i="7" s="1"/>
  <c r="S210" i="7" s="1"/>
  <c r="V200" i="7" s="1"/>
  <c r="V201" i="7" s="1"/>
  <c r="V202" i="7" s="1"/>
  <c r="V203" i="7" s="1"/>
  <c r="V204" i="7" s="1"/>
  <c r="V205" i="7" s="1"/>
  <c r="V206" i="7" s="1"/>
  <c r="V207" i="7" s="1"/>
  <c r="V208" i="7" s="1"/>
  <c r="V209" i="7" s="1"/>
  <c r="V210" i="7" s="1"/>
  <c r="D212" i="7" s="1"/>
  <c r="D213" i="7" s="1"/>
  <c r="D214" i="7" s="1"/>
  <c r="D215" i="7" s="1"/>
  <c r="D216" i="7" s="1"/>
  <c r="D217" i="7" s="1"/>
  <c r="D218" i="7" s="1"/>
  <c r="D219" i="7" s="1"/>
  <c r="D220" i="7" s="1"/>
  <c r="D221" i="7" s="1"/>
  <c r="D222" i="7" s="1"/>
  <c r="G212" i="7" s="1"/>
  <c r="G213" i="7" s="1"/>
  <c r="G214" i="7" s="1"/>
  <c r="G215" i="7" s="1"/>
  <c r="G216" i="7" s="1"/>
  <c r="G217" i="7" s="1"/>
  <c r="G218" i="7" s="1"/>
  <c r="G219" i="7" s="1"/>
  <c r="G220" i="7" s="1"/>
  <c r="G221" i="7" s="1"/>
  <c r="G222" i="7" s="1"/>
  <c r="J212" i="7" s="1"/>
  <c r="J213" i="7" s="1"/>
  <c r="J214" i="7" s="1"/>
  <c r="J215" i="7" s="1"/>
  <c r="J216" i="7" s="1"/>
  <c r="J217" i="7" s="1"/>
  <c r="J218" i="7" s="1"/>
  <c r="J219" i="7" s="1"/>
  <c r="J220" i="7" s="1"/>
  <c r="J221" i="7" s="1"/>
  <c r="J222" i="7" s="1"/>
  <c r="M212" i="7" s="1"/>
  <c r="M213" i="7" s="1"/>
  <c r="M214" i="7" s="1"/>
  <c r="M215" i="7" s="1"/>
  <c r="M216" i="7" s="1"/>
  <c r="M217" i="7" s="1"/>
  <c r="M218" i="7" s="1"/>
  <c r="M219" i="7" s="1"/>
  <c r="M220" i="7" s="1"/>
  <c r="M221" i="7" s="1"/>
  <c r="M222" i="7" s="1"/>
  <c r="P212" i="7" s="1"/>
  <c r="P213" i="7" s="1"/>
  <c r="P214" i="7" s="1"/>
  <c r="P215" i="7" s="1"/>
  <c r="P216" i="7" s="1"/>
  <c r="P217" i="7" s="1"/>
  <c r="P218" i="7" s="1"/>
  <c r="P219" i="7" s="1"/>
  <c r="P220" i="7" s="1"/>
  <c r="P221" i="7" s="1"/>
  <c r="P222" i="7" s="1"/>
  <c r="S212" i="7" s="1"/>
  <c r="S213" i="7" s="1"/>
  <c r="S214" i="7" s="1"/>
  <c r="S215" i="7" s="1"/>
  <c r="S216" i="7" s="1"/>
  <c r="S217" i="7" s="1"/>
  <c r="S218" i="7" s="1"/>
  <c r="S219" i="7" s="1"/>
  <c r="S220" i="7" s="1"/>
  <c r="S221" i="7" s="1"/>
  <c r="S222" i="7" s="1"/>
  <c r="V212" i="7" s="1"/>
  <c r="V213" i="7" s="1"/>
  <c r="V214" i="7" s="1"/>
  <c r="V215" i="7" s="1"/>
  <c r="V216" i="7" s="1"/>
  <c r="V217" i="7" s="1"/>
  <c r="V218" i="7" s="1"/>
  <c r="V219" i="7" s="1"/>
  <c r="V220" i="7" s="1"/>
  <c r="V221" i="7" s="1"/>
  <c r="V222" i="7" s="1"/>
  <c r="D224" i="7" s="1"/>
  <c r="D225" i="7" s="1"/>
  <c r="D226" i="7" s="1"/>
  <c r="D227" i="7" s="1"/>
  <c r="D228" i="7" s="1"/>
  <c r="D229" i="7" s="1"/>
  <c r="D230" i="7" s="1"/>
  <c r="D231" i="7" s="1"/>
  <c r="D232" i="7" s="1"/>
  <c r="D233" i="7" s="1"/>
  <c r="D234" i="7" s="1"/>
  <c r="G224" i="7" s="1"/>
  <c r="G225" i="7" s="1"/>
  <c r="G226" i="7" s="1"/>
  <c r="G227" i="7" s="1"/>
  <c r="G228" i="7" s="1"/>
  <c r="G229" i="7" s="1"/>
  <c r="G230" i="7" s="1"/>
  <c r="G231" i="7" s="1"/>
  <c r="G232" i="7" s="1"/>
  <c r="G233" i="7" s="1"/>
  <c r="G234" i="7" s="1"/>
  <c r="J224" i="7" s="1"/>
  <c r="J225" i="7" s="1"/>
  <c r="J226" i="7" s="1"/>
  <c r="J227" i="7" s="1"/>
  <c r="J228" i="7" s="1"/>
  <c r="J229" i="7" s="1"/>
  <c r="J230" i="7" s="1"/>
  <c r="J231" i="7" s="1"/>
  <c r="J232" i="7" s="1"/>
  <c r="J233" i="7" s="1"/>
  <c r="J234" i="7" s="1"/>
  <c r="M224" i="7" s="1"/>
  <c r="M225" i="7" s="1"/>
  <c r="M226" i="7" s="1"/>
  <c r="M227" i="7" s="1"/>
  <c r="M228" i="7" s="1"/>
  <c r="M229" i="7" s="1"/>
  <c r="M230" i="7" s="1"/>
  <c r="M231" i="7" s="1"/>
  <c r="M232" i="7" s="1"/>
  <c r="M233" i="7" s="1"/>
  <c r="M234" i="7" s="1"/>
  <c r="P224" i="7" s="1"/>
  <c r="P225" i="7" s="1"/>
  <c r="P226" i="7" s="1"/>
  <c r="P227" i="7" s="1"/>
  <c r="P228" i="7" s="1"/>
  <c r="P229" i="7" s="1"/>
  <c r="P230" i="7" s="1"/>
  <c r="P231" i="7" s="1"/>
  <c r="P232" i="7" s="1"/>
  <c r="P233" i="7" s="1"/>
  <c r="P234" i="7" s="1"/>
  <c r="S224" i="7" s="1"/>
  <c r="S225" i="7" s="1"/>
  <c r="S226" i="7" s="1"/>
  <c r="S227" i="7" s="1"/>
  <c r="S228" i="7" s="1"/>
  <c r="S229" i="7" s="1"/>
  <c r="S230" i="7" s="1"/>
  <c r="S231" i="7" s="1"/>
  <c r="S232" i="7" s="1"/>
  <c r="S233" i="7" s="1"/>
  <c r="S234" i="7" s="1"/>
  <c r="V224" i="7" s="1"/>
  <c r="V225" i="7" s="1"/>
  <c r="V226" i="7" s="1"/>
  <c r="V227" i="7" s="1"/>
  <c r="V228" i="7" s="1"/>
  <c r="V229" i="7" s="1"/>
  <c r="V230" i="7" s="1"/>
  <c r="V231" i="7" s="1"/>
  <c r="V232" i="7" s="1"/>
  <c r="V233" i="7" s="1"/>
  <c r="V234" i="7" s="1"/>
  <c r="D236" i="7" s="1"/>
  <c r="D237" i="7" s="1"/>
  <c r="D238" i="7" s="1"/>
  <c r="D239" i="7" s="1"/>
  <c r="D240" i="7" s="1"/>
  <c r="D241" i="7" s="1"/>
  <c r="D242" i="7" s="1"/>
  <c r="D243" i="7" s="1"/>
  <c r="D244" i="7" s="1"/>
  <c r="D245" i="7" s="1"/>
  <c r="D246" i="7" s="1"/>
  <c r="G236" i="7" s="1"/>
  <c r="G237" i="7" s="1"/>
  <c r="G238" i="7" s="1"/>
  <c r="G239" i="7" s="1"/>
  <c r="G240" i="7" s="1"/>
  <c r="G241" i="7" s="1"/>
  <c r="G242" i="7" s="1"/>
  <c r="G243" i="7" s="1"/>
  <c r="G244" i="7" s="1"/>
  <c r="G245" i="7" s="1"/>
  <c r="G246" i="7" s="1"/>
  <c r="J236" i="7" s="1"/>
  <c r="J237" i="7" s="1"/>
  <c r="J238" i="7" s="1"/>
  <c r="J239" i="7" s="1"/>
  <c r="J240" i="7" s="1"/>
  <c r="J241" i="7" s="1"/>
  <c r="J242" i="7" s="1"/>
  <c r="J243" i="7" s="1"/>
  <c r="J244" i="7" s="1"/>
  <c r="J245" i="7" s="1"/>
  <c r="J246" i="7" s="1"/>
  <c r="M236" i="7" s="1"/>
  <c r="M237" i="7" s="1"/>
  <c r="M238" i="7" s="1"/>
  <c r="M239" i="7" s="1"/>
  <c r="M240" i="7" s="1"/>
  <c r="M241" i="7" s="1"/>
  <c r="M242" i="7" s="1"/>
  <c r="M243" i="7" s="1"/>
  <c r="M244" i="7" s="1"/>
  <c r="M245" i="7" s="1"/>
  <c r="M246" i="7" s="1"/>
  <c r="P236" i="7" s="1"/>
  <c r="P237" i="7" s="1"/>
  <c r="P238" i="7" s="1"/>
  <c r="P239" i="7" s="1"/>
  <c r="P240" i="7" s="1"/>
  <c r="P241" i="7" s="1"/>
  <c r="P242" i="7" s="1"/>
  <c r="P243" i="7" s="1"/>
  <c r="P244" i="7" s="1"/>
  <c r="P245" i="7" s="1"/>
  <c r="P246" i="7" s="1"/>
  <c r="S236" i="7" s="1"/>
  <c r="S237" i="7" s="1"/>
  <c r="S238" i="7" s="1"/>
  <c r="S239" i="7" s="1"/>
  <c r="S240" i="7" s="1"/>
  <c r="S241" i="7" s="1"/>
  <c r="S242" i="7" s="1"/>
  <c r="S243" i="7" s="1"/>
  <c r="S244" i="7" s="1"/>
  <c r="S245" i="7" s="1"/>
  <c r="S246" i="7" s="1"/>
  <c r="V236" i="7" s="1"/>
  <c r="V237" i="7" s="1"/>
  <c r="V238" i="7" s="1"/>
  <c r="V239" i="7" s="1"/>
  <c r="V240" i="7" s="1"/>
  <c r="V241" i="7" s="1"/>
  <c r="V242" i="7" s="1"/>
  <c r="V243" i="7" s="1"/>
  <c r="V244" i="7" s="1"/>
  <c r="V245" i="7" s="1"/>
  <c r="V246" i="7" s="1"/>
  <c r="D248" i="7" s="1"/>
  <c r="D249" i="7" s="1"/>
  <c r="D250" i="7" s="1"/>
  <c r="D251" i="7" s="1"/>
  <c r="D252" i="7" s="1"/>
  <c r="D253" i="7" s="1"/>
  <c r="D254" i="7" s="1"/>
  <c r="D255" i="7" s="1"/>
  <c r="D256" i="7" s="1"/>
  <c r="D257" i="7" s="1"/>
  <c r="D258" i="7" s="1"/>
  <c r="G248" i="7" s="1"/>
  <c r="G249" i="7" s="1"/>
  <c r="G250" i="7" s="1"/>
  <c r="G251" i="7" s="1"/>
  <c r="G252" i="7" s="1"/>
  <c r="G253" i="7" s="1"/>
  <c r="G254" i="7" s="1"/>
  <c r="G255" i="7" s="1"/>
  <c r="G256" i="7" s="1"/>
  <c r="G257" i="7" s="1"/>
  <c r="G258" i="7" s="1"/>
  <c r="J248" i="7" s="1"/>
  <c r="J249" i="7" s="1"/>
  <c r="J250" i="7" s="1"/>
  <c r="J251" i="7" s="1"/>
  <c r="J252" i="7" s="1"/>
  <c r="J253" i="7" s="1"/>
  <c r="J254" i="7" s="1"/>
  <c r="J255" i="7" s="1"/>
  <c r="J256" i="7" s="1"/>
  <c r="J257" i="7" s="1"/>
  <c r="J258" i="7" s="1"/>
  <c r="M248" i="7" s="1"/>
  <c r="M249" i="7" s="1"/>
  <c r="M250" i="7" s="1"/>
  <c r="M251" i="7" s="1"/>
  <c r="M252" i="7" s="1"/>
  <c r="M253" i="7" s="1"/>
  <c r="M254" i="7" s="1"/>
  <c r="M255" i="7" s="1"/>
  <c r="M256" i="7" s="1"/>
  <c r="M257" i="7" s="1"/>
  <c r="M258" i="7" s="1"/>
  <c r="P248" i="7" s="1"/>
  <c r="P249" i="7" s="1"/>
  <c r="P250" i="7" s="1"/>
  <c r="P251" i="7" s="1"/>
  <c r="P252" i="7" s="1"/>
  <c r="P253" i="7" s="1"/>
  <c r="P254" i="7" s="1"/>
  <c r="P255" i="7" s="1"/>
  <c r="P256" i="7" s="1"/>
  <c r="P257" i="7" s="1"/>
  <c r="P258" i="7" s="1"/>
  <c r="S248" i="7" s="1"/>
  <c r="S249" i="7" s="1"/>
  <c r="S250" i="7" s="1"/>
  <c r="S251" i="7" s="1"/>
  <c r="S252" i="7" s="1"/>
  <c r="S253" i="7" s="1"/>
  <c r="S254" i="7" s="1"/>
  <c r="S255" i="7" s="1"/>
  <c r="S256" i="7" s="1"/>
  <c r="S257" i="7" s="1"/>
  <c r="S258" i="7" s="1"/>
  <c r="V248" i="7" s="1"/>
  <c r="V249" i="7" s="1"/>
  <c r="V250" i="7" s="1"/>
  <c r="V251" i="7" s="1"/>
  <c r="V252" i="7" s="1"/>
  <c r="V253" i="7" s="1"/>
  <c r="V254" i="7" s="1"/>
  <c r="V255" i="7" s="1"/>
  <c r="V256" i="7" s="1"/>
  <c r="V257" i="7" s="1"/>
  <c r="V258" i="7" s="1"/>
  <c r="D260" i="7" s="1"/>
  <c r="D261" i="7" s="1"/>
  <c r="D262" i="7" s="1"/>
  <c r="D263" i="7" s="1"/>
  <c r="D264" i="7" s="1"/>
  <c r="D265" i="7" s="1"/>
  <c r="D266" i="7" s="1"/>
  <c r="D267" i="7" s="1"/>
  <c r="D268" i="7" s="1"/>
  <c r="D269" i="7" s="1"/>
  <c r="D270" i="7" s="1"/>
  <c r="G260" i="7" s="1"/>
  <c r="G261" i="7" s="1"/>
  <c r="G262" i="7" s="1"/>
  <c r="G263" i="7" s="1"/>
  <c r="G264" i="7" s="1"/>
  <c r="G265" i="7" s="1"/>
  <c r="G266" i="7" s="1"/>
  <c r="G267" i="7" s="1"/>
  <c r="G268" i="7" s="1"/>
  <c r="G269" i="7" s="1"/>
  <c r="G270" i="7" s="1"/>
  <c r="J260" i="7" s="1"/>
  <c r="J261" i="7" s="1"/>
  <c r="J262" i="7" s="1"/>
  <c r="J263" i="7" s="1"/>
  <c r="J264" i="7" s="1"/>
  <c r="J265" i="7" s="1"/>
  <c r="J266" i="7" s="1"/>
  <c r="J267" i="7" s="1"/>
  <c r="J268" i="7" s="1"/>
  <c r="J269" i="7" s="1"/>
  <c r="J270" i="7" s="1"/>
  <c r="M260" i="7" s="1"/>
  <c r="M261" i="7" s="1"/>
  <c r="M262" i="7" s="1"/>
  <c r="M263" i="7" s="1"/>
  <c r="M264" i="7" s="1"/>
  <c r="M265" i="7" s="1"/>
  <c r="M266" i="7" s="1"/>
  <c r="M267" i="7" s="1"/>
  <c r="M268" i="7" s="1"/>
  <c r="M269" i="7" s="1"/>
  <c r="M270" i="7" s="1"/>
  <c r="P260" i="7" s="1"/>
  <c r="P261" i="7" s="1"/>
  <c r="P262" i="7" s="1"/>
  <c r="P263" i="7" s="1"/>
  <c r="P264" i="7" s="1"/>
  <c r="P265" i="7" s="1"/>
  <c r="P266" i="7" s="1"/>
  <c r="P267" i="7" s="1"/>
  <c r="P268" i="7" s="1"/>
  <c r="P269" i="7" s="1"/>
  <c r="P270" i="7" s="1"/>
  <c r="S260" i="7" s="1"/>
  <c r="S261" i="7" s="1"/>
  <c r="S262" i="7" s="1"/>
  <c r="S263" i="7" s="1"/>
  <c r="S264" i="7" s="1"/>
  <c r="S265" i="7" s="1"/>
  <c r="S266" i="7" s="1"/>
  <c r="S267" i="7" s="1"/>
  <c r="S268" i="7" s="1"/>
  <c r="S269" i="7" s="1"/>
  <c r="S270" i="7" s="1"/>
  <c r="V260" i="7" s="1"/>
  <c r="V261" i="7" s="1"/>
  <c r="V262" i="7" s="1"/>
  <c r="V263" i="7" s="1"/>
  <c r="V264" i="7" s="1"/>
  <c r="V265" i="7" s="1"/>
  <c r="V266" i="7" s="1"/>
  <c r="V267" i="7" s="1"/>
  <c r="V268" i="7" s="1"/>
  <c r="V269" i="7" s="1"/>
  <c r="V270" i="7" s="1"/>
  <c r="D272" i="7" s="1"/>
  <c r="D273" i="7" s="1"/>
  <c r="D274" i="7" s="1"/>
  <c r="D275" i="7" s="1"/>
  <c r="D276" i="7" s="1"/>
  <c r="D277" i="7" s="1"/>
  <c r="D278" i="7" s="1"/>
  <c r="D279" i="7" s="1"/>
  <c r="D280" i="7" s="1"/>
  <c r="D281" i="7" s="1"/>
  <c r="D282" i="7" s="1"/>
  <c r="G272" i="7" s="1"/>
  <c r="G273" i="7" s="1"/>
  <c r="G274" i="7" s="1"/>
  <c r="G275" i="7" s="1"/>
  <c r="G276" i="7" s="1"/>
  <c r="G277" i="7" s="1"/>
  <c r="G278" i="7" s="1"/>
  <c r="G279" i="7" s="1"/>
  <c r="G280" i="7" s="1"/>
  <c r="G281" i="7" s="1"/>
  <c r="G282" i="7" s="1"/>
  <c r="J272" i="7" s="1"/>
  <c r="J273" i="7" s="1"/>
  <c r="J274" i="7" s="1"/>
  <c r="J275" i="7" s="1"/>
  <c r="J276" i="7" s="1"/>
  <c r="J277" i="7" s="1"/>
  <c r="J278" i="7" s="1"/>
  <c r="J279" i="7" s="1"/>
  <c r="J280" i="7" s="1"/>
  <c r="J281" i="7" s="1"/>
  <c r="J282" i="7" s="1"/>
  <c r="M272" i="7" s="1"/>
  <c r="M273" i="7" s="1"/>
  <c r="M274" i="7" s="1"/>
  <c r="M275" i="7" s="1"/>
  <c r="M276" i="7" s="1"/>
  <c r="M277" i="7" s="1"/>
  <c r="M278" i="7" s="1"/>
  <c r="M279" i="7" s="1"/>
  <c r="M280" i="7" s="1"/>
  <c r="M281" i="7" s="1"/>
  <c r="M282" i="7" s="1"/>
  <c r="P272" i="7" s="1"/>
  <c r="P273" i="7" s="1"/>
  <c r="P274" i="7" s="1"/>
  <c r="P275" i="7" s="1"/>
  <c r="P276" i="7" s="1"/>
  <c r="P277" i="7" s="1"/>
  <c r="P278" i="7" s="1"/>
  <c r="P279" i="7" s="1"/>
  <c r="P280" i="7" s="1"/>
  <c r="P281" i="7" s="1"/>
  <c r="P282" i="7" s="1"/>
  <c r="S272" i="7" s="1"/>
  <c r="S273" i="7" s="1"/>
  <c r="S274" i="7" s="1"/>
  <c r="S275" i="7" s="1"/>
  <c r="S276" i="7" s="1"/>
  <c r="S277" i="7" s="1"/>
  <c r="S278" i="7" s="1"/>
  <c r="S279" i="7" s="1"/>
  <c r="S280" i="7" s="1"/>
  <c r="S281" i="7" s="1"/>
  <c r="S282" i="7" s="1"/>
  <c r="V272" i="7" s="1"/>
  <c r="V273" i="7" s="1"/>
  <c r="V274" i="7" s="1"/>
  <c r="V275" i="7" s="1"/>
  <c r="V276" i="7" s="1"/>
  <c r="V277" i="7" s="1"/>
  <c r="V278" i="7" s="1"/>
  <c r="V279" i="7" s="1"/>
  <c r="V280" i="7" s="1"/>
  <c r="V281" i="7" s="1"/>
  <c r="V282" i="7" s="1"/>
  <c r="D284" i="7" s="1"/>
  <c r="D285" i="7" s="1"/>
  <c r="D286" i="7" s="1"/>
  <c r="D287" i="7" s="1"/>
  <c r="D288" i="7" s="1"/>
  <c r="D289" i="7" s="1"/>
  <c r="D290" i="7" s="1"/>
  <c r="D291" i="7" s="1"/>
  <c r="D292" i="7" s="1"/>
  <c r="D293" i="7" s="1"/>
  <c r="D294" i="7" s="1"/>
  <c r="G284" i="7" s="1"/>
  <c r="G285" i="7" s="1"/>
  <c r="G286" i="7" s="1"/>
  <c r="G287" i="7" s="1"/>
  <c r="G288" i="7" s="1"/>
  <c r="G289" i="7" s="1"/>
  <c r="G290" i="7" s="1"/>
  <c r="G291" i="7" s="1"/>
  <c r="G292" i="7" s="1"/>
  <c r="G293" i="7" s="1"/>
  <c r="G294" i="7" s="1"/>
  <c r="J284" i="7" s="1"/>
  <c r="J285" i="7" s="1"/>
  <c r="J286" i="7" s="1"/>
  <c r="J287" i="7" s="1"/>
  <c r="J288" i="7" s="1"/>
  <c r="J289" i="7" s="1"/>
  <c r="J290" i="7" s="1"/>
  <c r="J291" i="7" s="1"/>
  <c r="J292" i="7" s="1"/>
  <c r="J293" i="7" s="1"/>
  <c r="J294" i="7" s="1"/>
  <c r="M284" i="7" s="1"/>
  <c r="M285" i="7" s="1"/>
  <c r="M286" i="7" s="1"/>
  <c r="M287" i="7" s="1"/>
  <c r="M288" i="7" s="1"/>
  <c r="M289" i="7" s="1"/>
  <c r="M290" i="7" s="1"/>
  <c r="M291" i="7" s="1"/>
  <c r="M292" i="7" s="1"/>
  <c r="M293" i="7" s="1"/>
  <c r="M294" i="7" s="1"/>
  <c r="P284" i="7" s="1"/>
  <c r="P285" i="7" s="1"/>
  <c r="P286" i="7" s="1"/>
  <c r="P287" i="7" s="1"/>
  <c r="P288" i="7" s="1"/>
  <c r="P289" i="7" s="1"/>
  <c r="P290" i="7" s="1"/>
  <c r="P291" i="7" s="1"/>
  <c r="P292" i="7" s="1"/>
  <c r="P293" i="7" s="1"/>
  <c r="P294" i="7" s="1"/>
  <c r="S284" i="7" s="1"/>
  <c r="S285" i="7" s="1"/>
  <c r="S286" i="7" s="1"/>
  <c r="S287" i="7" s="1"/>
  <c r="S288" i="7" s="1"/>
  <c r="S289" i="7" s="1"/>
  <c r="S290" i="7" s="1"/>
  <c r="S291" i="7" s="1"/>
  <c r="S292" i="7" s="1"/>
  <c r="S293" i="7" s="1"/>
  <c r="S294" i="7" s="1"/>
  <c r="V284" i="7" s="1"/>
  <c r="V285" i="7" s="1"/>
  <c r="V286" i="7" s="1"/>
  <c r="V287" i="7" s="1"/>
  <c r="V288" i="7" s="1"/>
  <c r="V289" i="7" s="1"/>
  <c r="V290" i="7" s="1"/>
  <c r="V291" i="7" s="1"/>
  <c r="V292" i="7" s="1"/>
  <c r="V293" i="7" s="1"/>
  <c r="V294" i="7" s="1"/>
  <c r="D296" i="7" s="1"/>
  <c r="D297" i="7" s="1"/>
  <c r="D298" i="7" s="1"/>
  <c r="D299" i="7" s="1"/>
  <c r="D300" i="7" s="1"/>
  <c r="D301" i="7" s="1"/>
  <c r="D302" i="7" s="1"/>
  <c r="D303" i="7" s="1"/>
  <c r="D304" i="7" s="1"/>
  <c r="D305" i="7" s="1"/>
  <c r="D306" i="7" s="1"/>
  <c r="G296" i="7" s="1"/>
  <c r="G297" i="7" s="1"/>
  <c r="G298" i="7" s="1"/>
  <c r="G299" i="7" s="1"/>
  <c r="G300" i="7" s="1"/>
  <c r="G301" i="7" s="1"/>
  <c r="G302" i="7" s="1"/>
  <c r="G303" i="7" s="1"/>
  <c r="G304" i="7" s="1"/>
  <c r="G305" i="7" s="1"/>
  <c r="G306" i="7" s="1"/>
  <c r="J296" i="7" s="1"/>
  <c r="J297" i="7" s="1"/>
  <c r="J298" i="7" s="1"/>
  <c r="J299" i="7" s="1"/>
  <c r="J300" i="7" s="1"/>
  <c r="J301" i="7" s="1"/>
  <c r="J302" i="7" s="1"/>
  <c r="J303" i="7" s="1"/>
  <c r="J304" i="7" s="1"/>
  <c r="J305" i="7" s="1"/>
  <c r="J306" i="7" s="1"/>
  <c r="M296" i="7" s="1"/>
  <c r="M297" i="7" s="1"/>
  <c r="M298" i="7" s="1"/>
  <c r="M299" i="7" s="1"/>
  <c r="M300" i="7" s="1"/>
  <c r="M301" i="7" s="1"/>
  <c r="M302" i="7" s="1"/>
  <c r="M303" i="7" s="1"/>
  <c r="M304" i="7" s="1"/>
  <c r="M305" i="7" s="1"/>
  <c r="M306" i="7" s="1"/>
  <c r="P296" i="7" s="1"/>
  <c r="P297" i="7" s="1"/>
  <c r="P298" i="7" s="1"/>
  <c r="P299" i="7" s="1"/>
  <c r="P300" i="7" s="1"/>
  <c r="P301" i="7" s="1"/>
  <c r="P302" i="7" s="1"/>
  <c r="P303" i="7" s="1"/>
  <c r="P304" i="7" s="1"/>
  <c r="P305" i="7" s="1"/>
  <c r="P306" i="7" s="1"/>
  <c r="S296" i="7" s="1"/>
  <c r="S297" i="7" s="1"/>
  <c r="S298" i="7" s="1"/>
  <c r="S299" i="7" s="1"/>
  <c r="S300" i="7" s="1"/>
  <c r="S301" i="7" s="1"/>
  <c r="S302" i="7" s="1"/>
  <c r="S303" i="7" s="1"/>
  <c r="S304" i="7" s="1"/>
  <c r="S305" i="7" s="1"/>
  <c r="S306" i="7" s="1"/>
  <c r="V296" i="7" s="1"/>
  <c r="V297" i="7" s="1"/>
  <c r="V298" i="7" s="1"/>
  <c r="V299" i="7" s="1"/>
  <c r="V300" i="7" s="1"/>
  <c r="V301" i="7" s="1"/>
  <c r="V302" i="7" s="1"/>
  <c r="V303" i="7" s="1"/>
  <c r="V304" i="7" s="1"/>
  <c r="V305" i="7" s="1"/>
  <c r="V306" i="7" s="1"/>
  <c r="D308" i="7" s="1"/>
  <c r="D309" i="7" s="1"/>
  <c r="D310" i="7" s="1"/>
  <c r="D311" i="7" s="1"/>
  <c r="D312" i="7" s="1"/>
  <c r="D313" i="7" s="1"/>
  <c r="D314" i="7" s="1"/>
  <c r="D315" i="7" s="1"/>
  <c r="D316" i="7" s="1"/>
  <c r="D317" i="7" s="1"/>
  <c r="D318" i="7" s="1"/>
  <c r="G308" i="7" s="1"/>
  <c r="G309" i="7" s="1"/>
  <c r="G310" i="7" s="1"/>
  <c r="G311" i="7" s="1"/>
  <c r="G312" i="7" s="1"/>
  <c r="G313" i="7" s="1"/>
  <c r="G314" i="7" s="1"/>
  <c r="G315" i="7" s="1"/>
  <c r="G316" i="7" s="1"/>
  <c r="G317" i="7" s="1"/>
  <c r="G318" i="7" s="1"/>
  <c r="J308" i="7" s="1"/>
  <c r="J309" i="7" s="1"/>
  <c r="J310" i="7" s="1"/>
  <c r="J311" i="7" s="1"/>
  <c r="J312" i="7" s="1"/>
  <c r="J313" i="7" s="1"/>
  <c r="J314" i="7" s="1"/>
  <c r="J315" i="7" s="1"/>
  <c r="J316" i="7" s="1"/>
  <c r="J317" i="7" s="1"/>
  <c r="J318" i="7" s="1"/>
  <c r="M308" i="7" s="1"/>
  <c r="M309" i="7" s="1"/>
  <c r="M310" i="7" s="1"/>
  <c r="M311" i="7" s="1"/>
  <c r="M312" i="7" s="1"/>
  <c r="M313" i="7" s="1"/>
  <c r="M314" i="7" s="1"/>
  <c r="M315" i="7" s="1"/>
  <c r="M316" i="7" s="1"/>
  <c r="M317" i="7" s="1"/>
  <c r="M318" i="7" s="1"/>
  <c r="P308" i="7" s="1"/>
  <c r="P309" i="7" s="1"/>
  <c r="P310" i="7" s="1"/>
  <c r="P311" i="7" s="1"/>
  <c r="P312" i="7" s="1"/>
  <c r="P313" i="7" s="1"/>
  <c r="P314" i="7" s="1"/>
  <c r="P315" i="7" s="1"/>
  <c r="P316" i="7" s="1"/>
  <c r="P317" i="7" s="1"/>
  <c r="P318" i="7" s="1"/>
  <c r="S308" i="7" s="1"/>
  <c r="S309" i="7" s="1"/>
  <c r="S310" i="7" s="1"/>
  <c r="S311" i="7" s="1"/>
  <c r="S312" i="7" s="1"/>
  <c r="S313" i="7" s="1"/>
  <c r="S314" i="7" s="1"/>
  <c r="S315" i="7" s="1"/>
  <c r="S316" i="7" s="1"/>
  <c r="S317" i="7" s="1"/>
  <c r="S318" i="7" s="1"/>
  <c r="V308" i="7" s="1"/>
  <c r="V309" i="7" s="1"/>
  <c r="V310" i="7" s="1"/>
  <c r="V311" i="7" s="1"/>
  <c r="V312" i="7" s="1"/>
  <c r="V313" i="7" s="1"/>
  <c r="V314" i="7" s="1"/>
  <c r="V315" i="7" s="1"/>
  <c r="V316" i="7" s="1"/>
  <c r="V317" i="7" s="1"/>
  <c r="V318" i="7" s="1"/>
  <c r="D320" i="7" s="1"/>
  <c r="D321" i="7" s="1"/>
  <c r="D322" i="7" s="1"/>
  <c r="D323" i="7" s="1"/>
  <c r="D324" i="7" s="1"/>
  <c r="D325" i="7" s="1"/>
  <c r="D326" i="7" s="1"/>
  <c r="D327" i="7" s="1"/>
  <c r="D328" i="7" s="1"/>
  <c r="D329" i="7" s="1"/>
  <c r="D330" i="7" s="1"/>
  <c r="G320" i="7" s="1"/>
  <c r="G321" i="7" s="1"/>
  <c r="G322" i="7" s="1"/>
  <c r="G323" i="7" s="1"/>
  <c r="G324" i="7" s="1"/>
  <c r="G325" i="7" s="1"/>
  <c r="G326" i="7" s="1"/>
  <c r="G327" i="7" s="1"/>
  <c r="G328" i="7" s="1"/>
  <c r="G329" i="7" s="1"/>
  <c r="G330" i="7" s="1"/>
  <c r="J320" i="7" s="1"/>
  <c r="J321" i="7" s="1"/>
  <c r="J322" i="7" s="1"/>
  <c r="J323" i="7" s="1"/>
  <c r="J324" i="7" s="1"/>
  <c r="J325" i="7" s="1"/>
  <c r="J326" i="7" s="1"/>
  <c r="J327" i="7" s="1"/>
  <c r="J328" i="7" s="1"/>
  <c r="J329" i="7" s="1"/>
  <c r="J330" i="7" s="1"/>
  <c r="M320" i="7" s="1"/>
  <c r="M321" i="7" s="1"/>
  <c r="M322" i="7" s="1"/>
  <c r="M323" i="7" s="1"/>
  <c r="M324" i="7" s="1"/>
  <c r="M325" i="7" s="1"/>
  <c r="M326" i="7" s="1"/>
  <c r="M327" i="7" s="1"/>
  <c r="M328" i="7" s="1"/>
  <c r="M329" i="7" s="1"/>
  <c r="M330" i="7" s="1"/>
  <c r="P320" i="7" s="1"/>
  <c r="P321" i="7" s="1"/>
  <c r="P322" i="7" s="1"/>
  <c r="P323" i="7" s="1"/>
  <c r="P324" i="7" s="1"/>
  <c r="P325" i="7" s="1"/>
  <c r="P326" i="7" s="1"/>
  <c r="P327" i="7" s="1"/>
  <c r="P328" i="7" s="1"/>
  <c r="P329" i="7" s="1"/>
  <c r="P330" i="7" s="1"/>
  <c r="S320" i="7" s="1"/>
  <c r="S321" i="7" s="1"/>
  <c r="S322" i="7" s="1"/>
  <c r="S323" i="7" s="1"/>
  <c r="S324" i="7" s="1"/>
  <c r="S325" i="7" s="1"/>
  <c r="S326" i="7" s="1"/>
  <c r="S327" i="7" s="1"/>
  <c r="S328" i="7" s="1"/>
  <c r="S329" i="7" s="1"/>
  <c r="S330" i="7" s="1"/>
  <c r="V320" i="7" s="1"/>
  <c r="V321" i="7" s="1"/>
  <c r="V322" i="7" s="1"/>
  <c r="V323" i="7" s="1"/>
  <c r="V324" i="7" s="1"/>
  <c r="V325" i="7" s="1"/>
  <c r="V326" i="7" s="1"/>
  <c r="V327" i="7" s="1"/>
  <c r="V328" i="7" s="1"/>
  <c r="V329" i="7" s="1"/>
  <c r="V330" i="7" s="1"/>
  <c r="D332" i="7" s="1"/>
  <c r="D333" i="7" s="1"/>
  <c r="D334" i="7" s="1"/>
  <c r="D335" i="7" s="1"/>
  <c r="D336" i="7" s="1"/>
  <c r="D337" i="7" s="1"/>
  <c r="D338" i="7" s="1"/>
  <c r="D339" i="7" s="1"/>
  <c r="D340" i="7" s="1"/>
  <c r="D341" i="7" s="1"/>
  <c r="D342" i="7" s="1"/>
  <c r="G332" i="7" s="1"/>
  <c r="G333" i="7" s="1"/>
  <c r="G334" i="7" s="1"/>
  <c r="G335" i="7" s="1"/>
  <c r="G336" i="7" s="1"/>
  <c r="G337" i="7" s="1"/>
  <c r="G338" i="7" s="1"/>
  <c r="G339" i="7" s="1"/>
  <c r="G340" i="7" s="1"/>
  <c r="G341" i="7" s="1"/>
  <c r="G342" i="7" s="1"/>
  <c r="J332" i="7" s="1"/>
  <c r="J333" i="7" s="1"/>
  <c r="J334" i="7" s="1"/>
  <c r="J335" i="7" s="1"/>
  <c r="J336" i="7" s="1"/>
  <c r="J337" i="7" s="1"/>
  <c r="J338" i="7" s="1"/>
  <c r="J339" i="7" s="1"/>
  <c r="J340" i="7" s="1"/>
  <c r="J341" i="7" s="1"/>
  <c r="J342" i="7" s="1"/>
  <c r="M332" i="7" s="1"/>
  <c r="M333" i="7" s="1"/>
  <c r="M334" i="7" s="1"/>
  <c r="M335" i="7" s="1"/>
  <c r="M336" i="7" s="1"/>
  <c r="M337" i="7" s="1"/>
  <c r="M338" i="7" s="1"/>
  <c r="M339" i="7" s="1"/>
  <c r="M340" i="7" s="1"/>
  <c r="M341" i="7" s="1"/>
  <c r="M342" i="7" s="1"/>
  <c r="P332" i="7" s="1"/>
  <c r="P333" i="7" s="1"/>
  <c r="P334" i="7" s="1"/>
  <c r="P335" i="7" s="1"/>
  <c r="P336" i="7" s="1"/>
  <c r="P337" i="7" s="1"/>
  <c r="P338" i="7" s="1"/>
  <c r="P339" i="7" s="1"/>
  <c r="P340" i="7" s="1"/>
  <c r="P341" i="7" s="1"/>
  <c r="P342" i="7" s="1"/>
  <c r="S332" i="7" s="1"/>
  <c r="S333" i="7" s="1"/>
  <c r="S334" i="7" s="1"/>
  <c r="S335" i="7" s="1"/>
  <c r="S336" i="7" s="1"/>
  <c r="S337" i="7" s="1"/>
  <c r="S338" i="7" s="1"/>
  <c r="S339" i="7" s="1"/>
  <c r="S340" i="7" s="1"/>
  <c r="S341" i="7" s="1"/>
  <c r="S342" i="7" s="1"/>
  <c r="V332" i="7" s="1"/>
  <c r="V333" i="7" s="1"/>
  <c r="V334" i="7" s="1"/>
  <c r="V335" i="7" s="1"/>
  <c r="V336" i="7" s="1"/>
  <c r="V337" i="7" s="1"/>
  <c r="V338" i="7" s="1"/>
  <c r="V339" i="7" s="1"/>
  <c r="V340" i="7" s="1"/>
  <c r="V341" i="7" s="1"/>
  <c r="V342" i="7" s="1"/>
  <c r="D344" i="7" s="1"/>
  <c r="D345" i="7" s="1"/>
  <c r="D346" i="7" s="1"/>
  <c r="D347" i="7" s="1"/>
  <c r="D348" i="7" s="1"/>
  <c r="D349" i="7" s="1"/>
  <c r="D350" i="7" s="1"/>
  <c r="D351" i="7" s="1"/>
  <c r="D352" i="7" s="1"/>
  <c r="D353" i="7" s="1"/>
  <c r="D354" i="7" s="1"/>
  <c r="G344" i="7" s="1"/>
  <c r="G345" i="7" s="1"/>
  <c r="G346" i="7" s="1"/>
  <c r="G347" i="7" s="1"/>
  <c r="G348" i="7" s="1"/>
  <c r="G349" i="7" s="1"/>
  <c r="G350" i="7" s="1"/>
  <c r="G351" i="7" s="1"/>
  <c r="G352" i="7" s="1"/>
  <c r="G353" i="7" s="1"/>
  <c r="G354" i="7" s="1"/>
  <c r="J344" i="7" s="1"/>
  <c r="J345" i="7" s="1"/>
  <c r="J346" i="7" s="1"/>
  <c r="J347" i="7" s="1"/>
  <c r="J348" i="7" s="1"/>
  <c r="J349" i="7" s="1"/>
  <c r="J350" i="7" s="1"/>
  <c r="J351" i="7" s="1"/>
  <c r="J352" i="7" s="1"/>
  <c r="J353" i="7" s="1"/>
  <c r="J354" i="7" s="1"/>
  <c r="M344" i="7" s="1"/>
  <c r="M345" i="7" s="1"/>
  <c r="M346" i="7" s="1"/>
  <c r="M347" i="7" s="1"/>
  <c r="M348" i="7" s="1"/>
  <c r="M349" i="7" s="1"/>
  <c r="M350" i="7" s="1"/>
  <c r="M351" i="7" s="1"/>
  <c r="M352" i="7" s="1"/>
  <c r="M353" i="7" s="1"/>
  <c r="M354" i="7" s="1"/>
  <c r="P344" i="7" s="1"/>
  <c r="P345" i="7" s="1"/>
  <c r="P346" i="7" s="1"/>
  <c r="P347" i="7" s="1"/>
  <c r="P348" i="7" s="1"/>
  <c r="P349" i="7" s="1"/>
  <c r="P350" i="7" s="1"/>
  <c r="P351" i="7" s="1"/>
  <c r="P352" i="7" s="1"/>
  <c r="P353" i="7" s="1"/>
  <c r="P354" i="7" s="1"/>
  <c r="S344" i="7" s="1"/>
  <c r="S345" i="7" s="1"/>
  <c r="S346" i="7" s="1"/>
  <c r="S347" i="7" s="1"/>
  <c r="S348" i="7" s="1"/>
  <c r="S349" i="7" s="1"/>
  <c r="S350" i="7" s="1"/>
  <c r="S351" i="7" s="1"/>
  <c r="S352" i="7" s="1"/>
  <c r="S353" i="7" s="1"/>
  <c r="S354" i="7" s="1"/>
  <c r="V344" i="7" s="1"/>
  <c r="V345" i="7" s="1"/>
  <c r="V346" i="7" s="1"/>
  <c r="V347" i="7" s="1"/>
  <c r="V348" i="7" s="1"/>
  <c r="V349" i="7" s="1"/>
  <c r="V350" i="7" s="1"/>
  <c r="V351" i="7" s="1"/>
  <c r="V352" i="7" s="1"/>
  <c r="V353" i="7" s="1"/>
  <c r="V354" i="7" s="1"/>
  <c r="D356" i="7" s="1"/>
  <c r="D357" i="7" s="1"/>
  <c r="D358" i="7" s="1"/>
  <c r="D359" i="7" s="1"/>
  <c r="D360" i="7" s="1"/>
  <c r="D361" i="7" s="1"/>
  <c r="D362" i="7" s="1"/>
  <c r="D363" i="7" s="1"/>
  <c r="D364" i="7" s="1"/>
  <c r="D365" i="7" s="1"/>
  <c r="D366" i="7" s="1"/>
  <c r="G356" i="7" s="1"/>
  <c r="G357" i="7" s="1"/>
  <c r="G358" i="7" s="1"/>
  <c r="G359" i="7" s="1"/>
  <c r="G360" i="7" s="1"/>
  <c r="G361" i="7" s="1"/>
  <c r="G362" i="7" s="1"/>
  <c r="G363" i="7" s="1"/>
  <c r="G364" i="7" s="1"/>
  <c r="G365" i="7" s="1"/>
  <c r="G366" i="7" s="1"/>
  <c r="J356" i="7" s="1"/>
  <c r="J357" i="7" s="1"/>
  <c r="J358" i="7" s="1"/>
  <c r="J359" i="7" s="1"/>
  <c r="J360" i="7" s="1"/>
  <c r="J361" i="7" s="1"/>
  <c r="J362" i="7" s="1"/>
  <c r="J363" i="7" s="1"/>
  <c r="J364" i="7" s="1"/>
  <c r="J365" i="7" s="1"/>
  <c r="J366" i="7" s="1"/>
  <c r="M356" i="7" s="1"/>
  <c r="M357" i="7" s="1"/>
  <c r="M358" i="7" s="1"/>
  <c r="M359" i="7" s="1"/>
  <c r="M360" i="7" s="1"/>
  <c r="M361" i="7" s="1"/>
  <c r="M362" i="7" s="1"/>
  <c r="M363" i="7" s="1"/>
  <c r="M364" i="7" s="1"/>
  <c r="M365" i="7" s="1"/>
  <c r="M366" i="7" s="1"/>
  <c r="P356" i="7" s="1"/>
  <c r="P357" i="7" s="1"/>
  <c r="P358" i="7" s="1"/>
  <c r="P359" i="7" s="1"/>
  <c r="P360" i="7" s="1"/>
  <c r="P361" i="7" s="1"/>
  <c r="P362" i="7" s="1"/>
  <c r="P363" i="7" s="1"/>
  <c r="P364" i="7" s="1"/>
  <c r="P365" i="7" s="1"/>
  <c r="P366" i="7" s="1"/>
  <c r="S356" i="7" s="1"/>
  <c r="S357" i="7" s="1"/>
  <c r="S358" i="7" s="1"/>
  <c r="S359" i="7" s="1"/>
  <c r="S360" i="7" s="1"/>
  <c r="S361" i="7" s="1"/>
  <c r="S362" i="7" s="1"/>
  <c r="S363" i="7" s="1"/>
  <c r="S364" i="7" s="1"/>
  <c r="S365" i="7" s="1"/>
  <c r="S366" i="7" s="1"/>
  <c r="V356" i="7" s="1"/>
  <c r="V357" i="7" s="1"/>
  <c r="V358" i="7" s="1"/>
  <c r="V359" i="7" s="1"/>
  <c r="V360" i="7" s="1"/>
  <c r="V361" i="7" s="1"/>
  <c r="V362" i="7" s="1"/>
  <c r="V363" i="7" s="1"/>
  <c r="V364" i="7" s="1"/>
  <c r="V365" i="7" s="1"/>
  <c r="V366" i="7" s="1"/>
  <c r="D368" i="7" s="1"/>
  <c r="D369" i="7" s="1"/>
  <c r="D370" i="7" s="1"/>
  <c r="D371" i="7" s="1"/>
  <c r="D372" i="7" s="1"/>
  <c r="D373" i="7" s="1"/>
  <c r="D374" i="7" s="1"/>
  <c r="D375" i="7" s="1"/>
  <c r="D376" i="7" s="1"/>
  <c r="D377" i="7" s="1"/>
  <c r="D378" i="7" s="1"/>
  <c r="G368" i="7" s="1"/>
  <c r="G369" i="7" s="1"/>
  <c r="G370" i="7" s="1"/>
  <c r="G371" i="7" s="1"/>
  <c r="G372" i="7" s="1"/>
  <c r="G373" i="7" s="1"/>
  <c r="G374" i="7" s="1"/>
  <c r="G375" i="7" s="1"/>
  <c r="G376" i="7" s="1"/>
  <c r="G377" i="7" s="1"/>
  <c r="G378" i="7" s="1"/>
  <c r="J368" i="7" s="1"/>
  <c r="J369" i="7" s="1"/>
  <c r="J370" i="7" s="1"/>
  <c r="J371" i="7" s="1"/>
  <c r="J372" i="7" s="1"/>
  <c r="J373" i="7" s="1"/>
  <c r="J374" i="7" s="1"/>
  <c r="J375" i="7" s="1"/>
  <c r="J376" i="7" s="1"/>
  <c r="J377" i="7" s="1"/>
  <c r="J378" i="7" s="1"/>
  <c r="M368" i="7" s="1"/>
  <c r="M369" i="7" s="1"/>
  <c r="M370" i="7" s="1"/>
  <c r="M371" i="7" s="1"/>
  <c r="M372" i="7" s="1"/>
  <c r="M373" i="7" s="1"/>
  <c r="M374" i="7" s="1"/>
  <c r="M375" i="7" s="1"/>
  <c r="M376" i="7" s="1"/>
  <c r="M377" i="7" s="1"/>
  <c r="M378" i="7" s="1"/>
  <c r="P368" i="7" s="1"/>
  <c r="P369" i="7" s="1"/>
  <c r="P370" i="7" s="1"/>
  <c r="P371" i="7" s="1"/>
  <c r="P372" i="7" s="1"/>
  <c r="P373" i="7" s="1"/>
  <c r="P374" i="7" s="1"/>
  <c r="P375" i="7" s="1"/>
  <c r="P376" i="7" s="1"/>
  <c r="P377" i="7" s="1"/>
  <c r="P378" i="7" s="1"/>
  <c r="S368" i="7" s="1"/>
  <c r="S369" i="7" s="1"/>
  <c r="S370" i="7" s="1"/>
  <c r="S371" i="7" s="1"/>
  <c r="S372" i="7" s="1"/>
  <c r="S373" i="7" s="1"/>
  <c r="S374" i="7" s="1"/>
  <c r="S375" i="7" s="1"/>
  <c r="S376" i="7" s="1"/>
  <c r="S377" i="7" s="1"/>
  <c r="S378" i="7" s="1"/>
  <c r="V368" i="7" s="1"/>
  <c r="V369" i="7" s="1"/>
  <c r="V370" i="7" s="1"/>
  <c r="V371" i="7" s="1"/>
  <c r="V372" i="7" s="1"/>
  <c r="V373" i="7" s="1"/>
  <c r="V374" i="7" s="1"/>
  <c r="V375" i="7" s="1"/>
  <c r="V376" i="7" s="1"/>
  <c r="V377" i="7" s="1"/>
  <c r="V378" i="7" s="1"/>
  <c r="D380" i="7" s="1"/>
  <c r="D381" i="7" s="1"/>
  <c r="D382" i="7" s="1"/>
  <c r="D383" i="7" s="1"/>
  <c r="D384" i="7" s="1"/>
  <c r="D385" i="7" s="1"/>
  <c r="D386" i="7" s="1"/>
  <c r="D387" i="7" s="1"/>
  <c r="D388" i="7" s="1"/>
  <c r="D389" i="7" s="1"/>
  <c r="D390" i="7" s="1"/>
  <c r="G380" i="7" s="1"/>
  <c r="G381" i="7" s="1"/>
  <c r="G382" i="7" s="1"/>
  <c r="G383" i="7" s="1"/>
  <c r="G384" i="7" s="1"/>
  <c r="G385" i="7" s="1"/>
  <c r="G386" i="7" s="1"/>
  <c r="G387" i="7" s="1"/>
  <c r="G388" i="7" s="1"/>
  <c r="G389" i="7" s="1"/>
  <c r="G390" i="7" s="1"/>
  <c r="J380" i="7" s="1"/>
  <c r="J381" i="7" s="1"/>
  <c r="J382" i="7" s="1"/>
  <c r="J383" i="7" s="1"/>
  <c r="J384" i="7" s="1"/>
  <c r="J385" i="7" s="1"/>
  <c r="J386" i="7" s="1"/>
  <c r="J387" i="7" s="1"/>
  <c r="J388" i="7" s="1"/>
  <c r="J389" i="7" s="1"/>
  <c r="J390" i="7" s="1"/>
  <c r="M380" i="7" s="1"/>
  <c r="M381" i="7" s="1"/>
  <c r="M382" i="7" s="1"/>
  <c r="M383" i="7" s="1"/>
  <c r="M384" i="7" s="1"/>
  <c r="M385" i="7" s="1"/>
  <c r="M386" i="7" s="1"/>
  <c r="M387" i="7" s="1"/>
  <c r="M388" i="7" s="1"/>
  <c r="M389" i="7" s="1"/>
  <c r="M390" i="7" s="1"/>
  <c r="P380" i="7" s="1"/>
  <c r="P381" i="7" s="1"/>
  <c r="P382" i="7" s="1"/>
  <c r="P383" i="7" s="1"/>
  <c r="P384" i="7" s="1"/>
  <c r="P385" i="7" s="1"/>
  <c r="P386" i="7" s="1"/>
  <c r="P387" i="7" s="1"/>
  <c r="P388" i="7" s="1"/>
  <c r="P389" i="7" s="1"/>
  <c r="P390" i="7" s="1"/>
  <c r="S380" i="7" s="1"/>
  <c r="S381" i="7" s="1"/>
  <c r="S382" i="7" s="1"/>
  <c r="S383" i="7" s="1"/>
  <c r="S384" i="7" s="1"/>
  <c r="S385" i="7" s="1"/>
  <c r="S386" i="7" s="1"/>
  <c r="S387" i="7" s="1"/>
  <c r="S388" i="7" s="1"/>
  <c r="S389" i="7" s="1"/>
  <c r="S390" i="7" s="1"/>
  <c r="V380" i="7" s="1"/>
  <c r="V381" i="7" s="1"/>
  <c r="V382" i="7" s="1"/>
  <c r="V383" i="7" s="1"/>
  <c r="V384" i="7" s="1"/>
  <c r="V385" i="7" s="1"/>
  <c r="V386" i="7" s="1"/>
  <c r="V387" i="7" s="1"/>
  <c r="V388" i="7" s="1"/>
  <c r="V389" i="7" s="1"/>
  <c r="V390" i="7" s="1"/>
  <c r="D392" i="7" s="1"/>
  <c r="D393" i="7" s="1"/>
  <c r="D394" i="7" s="1"/>
  <c r="D395" i="7" s="1"/>
  <c r="D396" i="7" s="1"/>
  <c r="D397" i="7" s="1"/>
  <c r="D398" i="7" s="1"/>
  <c r="D399" i="7" s="1"/>
  <c r="D400" i="7" s="1"/>
  <c r="D401" i="7" s="1"/>
  <c r="D402" i="7" s="1"/>
  <c r="G392" i="7" s="1"/>
  <c r="G393" i="7" s="1"/>
  <c r="G394" i="7" s="1"/>
  <c r="G395" i="7" s="1"/>
  <c r="G396" i="7" s="1"/>
  <c r="G397" i="7" s="1"/>
  <c r="G398" i="7" s="1"/>
  <c r="G399" i="7" s="1"/>
  <c r="G400" i="7" s="1"/>
  <c r="G401" i="7" s="1"/>
  <c r="G402" i="7" s="1"/>
  <c r="J392" i="7" s="1"/>
  <c r="J393" i="7" s="1"/>
  <c r="J394" i="7" s="1"/>
  <c r="J395" i="7" s="1"/>
  <c r="J396" i="7" s="1"/>
  <c r="J397" i="7" s="1"/>
  <c r="J398" i="7" s="1"/>
  <c r="J399" i="7" s="1"/>
  <c r="J400" i="7" s="1"/>
  <c r="J401" i="7" s="1"/>
  <c r="J402" i="7" s="1"/>
  <c r="M392" i="7" s="1"/>
  <c r="M393" i="7" s="1"/>
  <c r="M394" i="7" s="1"/>
  <c r="M395" i="7" s="1"/>
  <c r="M396" i="7" s="1"/>
  <c r="M397" i="7" s="1"/>
  <c r="M398" i="7" s="1"/>
  <c r="M399" i="7" s="1"/>
  <c r="M400" i="7" s="1"/>
  <c r="M401" i="7" s="1"/>
  <c r="M402" i="7" s="1"/>
  <c r="P392" i="7" s="1"/>
  <c r="P393" i="7" s="1"/>
  <c r="P394" i="7" s="1"/>
  <c r="P395" i="7" s="1"/>
  <c r="P396" i="7" s="1"/>
  <c r="P397" i="7" s="1"/>
  <c r="P398" i="7" s="1"/>
  <c r="P399" i="7" s="1"/>
  <c r="P400" i="7" s="1"/>
  <c r="P401" i="7" s="1"/>
  <c r="P402" i="7" s="1"/>
  <c r="S392" i="7" s="1"/>
  <c r="S393" i="7" s="1"/>
  <c r="S394" i="7" s="1"/>
  <c r="S395" i="7" s="1"/>
  <c r="S396" i="7" s="1"/>
  <c r="S397" i="7" s="1"/>
  <c r="S398" i="7" s="1"/>
  <c r="S399" i="7" s="1"/>
  <c r="S400" i="7" s="1"/>
  <c r="S401" i="7" s="1"/>
  <c r="S402" i="7" s="1"/>
  <c r="V392" i="7" s="1"/>
  <c r="V393" i="7" s="1"/>
  <c r="V394" i="7" s="1"/>
  <c r="V395" i="7" s="1"/>
  <c r="V396" i="7" s="1"/>
  <c r="V397" i="7" s="1"/>
  <c r="V398" i="7" s="1"/>
  <c r="V399" i="7" s="1"/>
  <c r="V400" i="7" s="1"/>
  <c r="V401" i="7" s="1"/>
  <c r="V402" i="7" s="1"/>
  <c r="D404" i="7" s="1"/>
  <c r="D405" i="7" s="1"/>
  <c r="D406" i="7" s="1"/>
  <c r="D407" i="7" s="1"/>
  <c r="D408" i="7" s="1"/>
  <c r="D409" i="7" s="1"/>
  <c r="D410" i="7" s="1"/>
  <c r="D411" i="7" s="1"/>
  <c r="D412" i="7" s="1"/>
  <c r="D413" i="7" s="1"/>
  <c r="D414" i="7" s="1"/>
  <c r="G404" i="7" s="1"/>
  <c r="G405" i="7" s="1"/>
  <c r="G406" i="7" s="1"/>
  <c r="G407" i="7" s="1"/>
  <c r="G408" i="7" s="1"/>
  <c r="G409" i="7" s="1"/>
  <c r="G410" i="7" s="1"/>
  <c r="G411" i="7" s="1"/>
  <c r="G412" i="7" s="1"/>
  <c r="G413" i="7" s="1"/>
  <c r="G414" i="7" s="1"/>
  <c r="J404" i="7" s="1"/>
  <c r="J405" i="7" s="1"/>
  <c r="J406" i="7" s="1"/>
  <c r="J407" i="7" s="1"/>
  <c r="J408" i="7" s="1"/>
  <c r="J409" i="7" s="1"/>
  <c r="J410" i="7" s="1"/>
  <c r="J411" i="7" s="1"/>
  <c r="J412" i="7" s="1"/>
  <c r="J413" i="7" s="1"/>
  <c r="J414" i="7" s="1"/>
  <c r="M404" i="7" s="1"/>
  <c r="M405" i="7" s="1"/>
  <c r="M406" i="7" s="1"/>
  <c r="M407" i="7" s="1"/>
  <c r="M408" i="7" s="1"/>
  <c r="M409" i="7" s="1"/>
  <c r="M410" i="7" s="1"/>
  <c r="M411" i="7" s="1"/>
  <c r="M412" i="7" s="1"/>
  <c r="M413" i="7" s="1"/>
  <c r="M414" i="7" s="1"/>
  <c r="P404" i="7" s="1"/>
  <c r="P405" i="7" s="1"/>
  <c r="P406" i="7" s="1"/>
  <c r="P407" i="7" s="1"/>
  <c r="P408" i="7" s="1"/>
  <c r="P409" i="7" s="1"/>
  <c r="P410" i="7" s="1"/>
  <c r="P411" i="7" s="1"/>
  <c r="P412" i="7" s="1"/>
  <c r="P413" i="7" s="1"/>
  <c r="P414" i="7" s="1"/>
  <c r="S404" i="7" s="1"/>
  <c r="S405" i="7" s="1"/>
  <c r="S406" i="7" s="1"/>
  <c r="S407" i="7" s="1"/>
  <c r="S408" i="7" s="1"/>
  <c r="S409" i="7" s="1"/>
  <c r="S410" i="7" s="1"/>
  <c r="S411" i="7" s="1"/>
  <c r="S412" i="7" s="1"/>
  <c r="S413" i="7" s="1"/>
  <c r="S414" i="7" s="1"/>
  <c r="V404" i="7" s="1"/>
  <c r="V405" i="7" s="1"/>
  <c r="V406" i="7" s="1"/>
  <c r="V407" i="7" s="1"/>
  <c r="V408" i="7" s="1"/>
  <c r="V409" i="7" s="1"/>
  <c r="V410" i="7" s="1"/>
  <c r="V411" i="7" s="1"/>
  <c r="V412" i="7" s="1"/>
  <c r="V413" i="7" s="1"/>
  <c r="V414" i="7" s="1"/>
  <c r="D416" i="7" s="1"/>
  <c r="D417" i="7" s="1"/>
  <c r="D418" i="7" s="1"/>
  <c r="D419" i="7" s="1"/>
  <c r="D420" i="7" s="1"/>
  <c r="D421" i="7" s="1"/>
  <c r="D422" i="7" s="1"/>
  <c r="D423" i="7" s="1"/>
  <c r="D424" i="7" s="1"/>
  <c r="D425" i="7" s="1"/>
  <c r="D426" i="7" s="1"/>
  <c r="G416" i="7" s="1"/>
  <c r="G417" i="7" s="1"/>
  <c r="G418" i="7" s="1"/>
  <c r="G419" i="7" s="1"/>
  <c r="G420" i="7" s="1"/>
  <c r="G421" i="7" s="1"/>
  <c r="G422" i="7" s="1"/>
  <c r="G423" i="7" s="1"/>
  <c r="G424" i="7" s="1"/>
  <c r="G425" i="7" s="1"/>
  <c r="G426" i="7" s="1"/>
  <c r="J416" i="7" s="1"/>
  <c r="J417" i="7" s="1"/>
  <c r="J418" i="7" s="1"/>
  <c r="J419" i="7" s="1"/>
  <c r="J420" i="7" s="1"/>
  <c r="J421" i="7" s="1"/>
  <c r="J422" i="7" s="1"/>
  <c r="J423" i="7" s="1"/>
  <c r="J424" i="7" s="1"/>
  <c r="J425" i="7" s="1"/>
  <c r="J426" i="7" s="1"/>
  <c r="M416" i="7" s="1"/>
  <c r="M417" i="7" s="1"/>
  <c r="M418" i="7" s="1"/>
  <c r="M419" i="7" s="1"/>
  <c r="M420" i="7" s="1"/>
  <c r="M421" i="7" s="1"/>
  <c r="M422" i="7" s="1"/>
  <c r="M423" i="7" s="1"/>
  <c r="M424" i="7" s="1"/>
  <c r="M425" i="7" s="1"/>
  <c r="M426" i="7" s="1"/>
  <c r="P416" i="7" s="1"/>
  <c r="P417" i="7" s="1"/>
  <c r="P418" i="7" s="1"/>
  <c r="P419" i="7" s="1"/>
  <c r="P420" i="7" s="1"/>
  <c r="P421" i="7" s="1"/>
  <c r="P422" i="7" s="1"/>
  <c r="P423" i="7" s="1"/>
  <c r="P424" i="7" s="1"/>
  <c r="P425" i="7" s="1"/>
  <c r="P426" i="7" s="1"/>
  <c r="S416" i="7" s="1"/>
  <c r="S417" i="7" s="1"/>
  <c r="S418" i="7" s="1"/>
  <c r="S419" i="7" s="1"/>
  <c r="S420" i="7" s="1"/>
  <c r="S421" i="7" s="1"/>
  <c r="S422" i="7" s="1"/>
  <c r="S423" i="7" s="1"/>
  <c r="S424" i="7" s="1"/>
  <c r="S425" i="7" s="1"/>
  <c r="S426" i="7" s="1"/>
  <c r="V416" i="7" s="1"/>
  <c r="V417" i="7" s="1"/>
  <c r="V418" i="7" s="1"/>
  <c r="V419" i="7" s="1"/>
  <c r="V420" i="7" s="1"/>
  <c r="V421" i="7" s="1"/>
  <c r="V422" i="7" s="1"/>
  <c r="V423" i="7" s="1"/>
  <c r="V424" i="7" s="1"/>
  <c r="V425" i="7" s="1"/>
  <c r="V426" i="7" s="1"/>
  <c r="D428" i="7" s="1"/>
  <c r="D429" i="7" s="1"/>
  <c r="D430" i="7" s="1"/>
  <c r="D431" i="7" s="1"/>
  <c r="D432" i="7" s="1"/>
  <c r="D433" i="7" s="1"/>
  <c r="D434" i="7" s="1"/>
  <c r="D435" i="7" s="1"/>
  <c r="D436" i="7" s="1"/>
  <c r="D437" i="7" s="1"/>
  <c r="D438" i="7" s="1"/>
  <c r="G428" i="7" s="1"/>
  <c r="G429" i="7" s="1"/>
  <c r="G430" i="7" s="1"/>
  <c r="G431" i="7" s="1"/>
  <c r="G432" i="7" s="1"/>
  <c r="G433" i="7" s="1"/>
  <c r="G434" i="7" s="1"/>
  <c r="G435" i="7" s="1"/>
  <c r="G436" i="7" s="1"/>
  <c r="G437" i="7" s="1"/>
  <c r="G438" i="7" s="1"/>
  <c r="J428" i="7" s="1"/>
  <c r="J429" i="7" s="1"/>
  <c r="J430" i="7" s="1"/>
  <c r="J431" i="7" s="1"/>
  <c r="J432" i="7" s="1"/>
  <c r="J433" i="7" s="1"/>
  <c r="J434" i="7" s="1"/>
  <c r="J435" i="7" s="1"/>
  <c r="J436" i="7" s="1"/>
  <c r="J437" i="7" s="1"/>
  <c r="J438" i="7" s="1"/>
  <c r="M428" i="7" s="1"/>
  <c r="M429" i="7" s="1"/>
  <c r="M430" i="7" s="1"/>
  <c r="M431" i="7" s="1"/>
  <c r="M432" i="7" s="1"/>
  <c r="M433" i="7" s="1"/>
  <c r="M434" i="7" s="1"/>
  <c r="M435" i="7" s="1"/>
  <c r="M436" i="7" s="1"/>
  <c r="M437" i="7" s="1"/>
  <c r="M438" i="7" s="1"/>
  <c r="P428" i="7" s="1"/>
  <c r="P429" i="7" s="1"/>
  <c r="P430" i="7" s="1"/>
  <c r="P431" i="7" s="1"/>
  <c r="P432" i="7" s="1"/>
  <c r="P433" i="7" s="1"/>
  <c r="P434" i="7" s="1"/>
  <c r="P435" i="7" s="1"/>
  <c r="P436" i="7" s="1"/>
  <c r="P437" i="7" s="1"/>
  <c r="P438" i="7" s="1"/>
  <c r="S428" i="7" s="1"/>
  <c r="S429" i="7" s="1"/>
  <c r="S430" i="7" s="1"/>
  <c r="S431" i="7" s="1"/>
  <c r="S432" i="7" s="1"/>
  <c r="S433" i="7" s="1"/>
  <c r="S434" i="7" s="1"/>
  <c r="S435" i="7" s="1"/>
  <c r="S436" i="7" s="1"/>
  <c r="S437" i="7" s="1"/>
  <c r="S438" i="7" s="1"/>
  <c r="V428" i="7" s="1"/>
  <c r="V429" i="7" s="1"/>
  <c r="V430" i="7" s="1"/>
  <c r="V431" i="7" s="1"/>
  <c r="V432" i="7" s="1"/>
  <c r="V433" i="7" s="1"/>
  <c r="V434" i="7" s="1"/>
  <c r="V435" i="7" s="1"/>
  <c r="V436" i="7" s="1"/>
  <c r="V437" i="7" s="1"/>
  <c r="V438" i="7" s="1"/>
  <c r="D440" i="7" s="1"/>
  <c r="D441" i="7" s="1"/>
  <c r="D442" i="7" s="1"/>
  <c r="D443" i="7" s="1"/>
  <c r="D444" i="7" s="1"/>
  <c r="D445" i="7" s="1"/>
  <c r="D446" i="7" s="1"/>
  <c r="D447" i="7" s="1"/>
  <c r="D448" i="7" s="1"/>
  <c r="D449" i="7" s="1"/>
  <c r="D450" i="7" s="1"/>
  <c r="G440" i="7" s="1"/>
  <c r="G441" i="7" s="1"/>
  <c r="G442" i="7" s="1"/>
  <c r="G443" i="7" s="1"/>
  <c r="G444" i="7" s="1"/>
  <c r="G445" i="7" s="1"/>
  <c r="G446" i="7" s="1"/>
  <c r="G447" i="7" s="1"/>
  <c r="G448" i="7" s="1"/>
  <c r="G449" i="7" s="1"/>
  <c r="G450" i="7" s="1"/>
  <c r="J440" i="7" s="1"/>
  <c r="J441" i="7" s="1"/>
  <c r="J442" i="7" s="1"/>
  <c r="J443" i="7" s="1"/>
  <c r="J444" i="7" s="1"/>
  <c r="J445" i="7" s="1"/>
  <c r="J446" i="7" s="1"/>
  <c r="J447" i="7" s="1"/>
  <c r="J448" i="7" s="1"/>
  <c r="J449" i="7" s="1"/>
  <c r="J450" i="7" s="1"/>
  <c r="M440" i="7" s="1"/>
  <c r="M441" i="7" s="1"/>
  <c r="M442" i="7" s="1"/>
  <c r="M443" i="7" s="1"/>
  <c r="M444" i="7" s="1"/>
  <c r="M445" i="7" s="1"/>
  <c r="M446" i="7" s="1"/>
  <c r="M447" i="7" s="1"/>
  <c r="M448" i="7" s="1"/>
  <c r="M449" i="7" s="1"/>
  <c r="M450" i="7" s="1"/>
  <c r="P440" i="7" s="1"/>
  <c r="P441" i="7" s="1"/>
  <c r="P442" i="7" s="1"/>
  <c r="P443" i="7" s="1"/>
  <c r="P444" i="7" s="1"/>
  <c r="P445" i="7" s="1"/>
  <c r="P446" i="7" s="1"/>
  <c r="P447" i="7" s="1"/>
  <c r="P448" i="7" s="1"/>
  <c r="P449" i="7" s="1"/>
  <c r="P450" i="7" s="1"/>
  <c r="S440" i="7" s="1"/>
  <c r="S441" i="7" s="1"/>
  <c r="S442" i="7" s="1"/>
  <c r="S443" i="7" s="1"/>
  <c r="S444" i="7" s="1"/>
  <c r="S445" i="7" s="1"/>
  <c r="S446" i="7" s="1"/>
  <c r="S447" i="7" s="1"/>
  <c r="S448" i="7" s="1"/>
  <c r="S449" i="7" s="1"/>
  <c r="S450" i="7" s="1"/>
  <c r="V440" i="7" s="1"/>
  <c r="V441" i="7" s="1"/>
  <c r="V442" i="7" s="1"/>
  <c r="V443" i="7" s="1"/>
  <c r="V444" i="7" s="1"/>
  <c r="V445" i="7" s="1"/>
  <c r="V446" i="7" s="1"/>
  <c r="V447" i="7" s="1"/>
  <c r="V448" i="7" s="1"/>
  <c r="V449" i="7" s="1"/>
  <c r="V450" i="7" s="1"/>
  <c r="D452" i="7" s="1"/>
  <c r="D453" i="7" s="1"/>
  <c r="D454" i="7" s="1"/>
  <c r="D455" i="7" s="1"/>
  <c r="D456" i="7" s="1"/>
  <c r="D457" i="7" s="1"/>
  <c r="D458" i="7" s="1"/>
  <c r="D459" i="7" s="1"/>
  <c r="D460" i="7" s="1"/>
  <c r="D461" i="7" s="1"/>
  <c r="D462" i="7" s="1"/>
  <c r="G452" i="7" s="1"/>
  <c r="G453" i="7" s="1"/>
  <c r="G454" i="7" s="1"/>
  <c r="G455" i="7" s="1"/>
  <c r="G456" i="7" s="1"/>
  <c r="G457" i="7" s="1"/>
  <c r="G458" i="7" s="1"/>
  <c r="G459" i="7" s="1"/>
  <c r="G460" i="7" s="1"/>
  <c r="G461" i="7" s="1"/>
  <c r="G462" i="7" s="1"/>
  <c r="J452" i="7" s="1"/>
  <c r="J453" i="7" s="1"/>
  <c r="J454" i="7" s="1"/>
  <c r="J455" i="7" s="1"/>
  <c r="J456" i="7" s="1"/>
  <c r="J457" i="7" s="1"/>
  <c r="J458" i="7" s="1"/>
  <c r="J459" i="7" s="1"/>
  <c r="J460" i="7" s="1"/>
  <c r="J461" i="7" s="1"/>
  <c r="J462" i="7" s="1"/>
  <c r="M452" i="7" s="1"/>
  <c r="M453" i="7" s="1"/>
  <c r="M454" i="7" s="1"/>
  <c r="M455" i="7" s="1"/>
  <c r="M456" i="7" s="1"/>
  <c r="M457" i="7" s="1"/>
  <c r="M458" i="7" s="1"/>
  <c r="M459" i="7" s="1"/>
  <c r="M460" i="7" s="1"/>
  <c r="M461" i="7" s="1"/>
  <c r="M462" i="7" s="1"/>
  <c r="P452" i="7" s="1"/>
  <c r="P453" i="7" s="1"/>
  <c r="P454" i="7" s="1"/>
  <c r="P455" i="7" s="1"/>
  <c r="P456" i="7" s="1"/>
  <c r="P457" i="7" s="1"/>
  <c r="P458" i="7" s="1"/>
  <c r="P459" i="7" s="1"/>
  <c r="P460" i="7" s="1"/>
  <c r="P461" i="7" s="1"/>
  <c r="P462" i="7" s="1"/>
  <c r="S452" i="7" s="1"/>
  <c r="S453" i="7" s="1"/>
  <c r="S454" i="7" s="1"/>
  <c r="S455" i="7" s="1"/>
  <c r="S456" i="7" s="1"/>
  <c r="S457" i="7" s="1"/>
  <c r="S458" i="7" s="1"/>
  <c r="S459" i="7" s="1"/>
  <c r="S460" i="7" s="1"/>
  <c r="S461" i="7" s="1"/>
  <c r="S462" i="7" s="1"/>
  <c r="V452" i="7" s="1"/>
  <c r="V453" i="7" s="1"/>
  <c r="V454" i="7" s="1"/>
  <c r="V455" i="7" s="1"/>
  <c r="V456" i="7" s="1"/>
  <c r="V457" i="7" s="1"/>
  <c r="V458" i="7" s="1"/>
  <c r="V459" i="7" s="1"/>
  <c r="V460" i="7" s="1"/>
  <c r="V461" i="7" s="1"/>
  <c r="V462" i="7" s="1"/>
  <c r="D464" i="7" s="1"/>
  <c r="D465" i="7" s="1"/>
  <c r="D466" i="7" s="1"/>
  <c r="D467" i="7" s="1"/>
  <c r="D468" i="7" s="1"/>
  <c r="D469" i="7" s="1"/>
  <c r="D470" i="7" s="1"/>
  <c r="D471" i="7" s="1"/>
  <c r="D472" i="7" s="1"/>
  <c r="D473" i="7" s="1"/>
  <c r="D474" i="7" s="1"/>
  <c r="G464" i="7" s="1"/>
  <c r="G465" i="7" s="1"/>
  <c r="G466" i="7" s="1"/>
  <c r="G467" i="7" s="1"/>
  <c r="G468" i="7" s="1"/>
  <c r="G469" i="7" s="1"/>
  <c r="G470" i="7" s="1"/>
  <c r="G471" i="7" s="1"/>
  <c r="G472" i="7" s="1"/>
  <c r="G473" i="7" s="1"/>
  <c r="G474" i="7" s="1"/>
  <c r="J464" i="7" s="1"/>
  <c r="J465" i="7" s="1"/>
  <c r="J466" i="7" s="1"/>
  <c r="J467" i="7" s="1"/>
  <c r="J468" i="7" s="1"/>
  <c r="J469" i="7" s="1"/>
  <c r="J470" i="7" s="1"/>
  <c r="J471" i="7" s="1"/>
  <c r="J472" i="7" s="1"/>
  <c r="J473" i="7" s="1"/>
  <c r="J474" i="7" s="1"/>
  <c r="M464" i="7" s="1"/>
  <c r="M465" i="7" s="1"/>
  <c r="M466" i="7" s="1"/>
  <c r="M467" i="7" s="1"/>
  <c r="M468" i="7" s="1"/>
  <c r="M469" i="7" s="1"/>
  <c r="M470" i="7" s="1"/>
  <c r="M471" i="7" s="1"/>
  <c r="M472" i="7" s="1"/>
  <c r="M473" i="7" s="1"/>
  <c r="M474" i="7" s="1"/>
  <c r="P464" i="7" s="1"/>
  <c r="P465" i="7" s="1"/>
  <c r="P466" i="7" s="1"/>
  <c r="P467" i="7" s="1"/>
  <c r="P468" i="7" s="1"/>
  <c r="P469" i="7" s="1"/>
  <c r="P470" i="7" s="1"/>
  <c r="P471" i="7" s="1"/>
  <c r="P472" i="7" s="1"/>
  <c r="P473" i="7" s="1"/>
  <c r="P474" i="7" s="1"/>
  <c r="S464" i="7" s="1"/>
  <c r="S465" i="7" s="1"/>
  <c r="S466" i="7" s="1"/>
  <c r="S467" i="7" s="1"/>
  <c r="S468" i="7" s="1"/>
  <c r="S469" i="7" s="1"/>
  <c r="S470" i="7" s="1"/>
  <c r="S471" i="7" s="1"/>
  <c r="S472" i="7" s="1"/>
  <c r="S473" i="7" s="1"/>
  <c r="S474" i="7" s="1"/>
  <c r="V464" i="7" s="1"/>
  <c r="V465" i="7" s="1"/>
  <c r="V466" i="7" s="1"/>
  <c r="V467" i="7" s="1"/>
  <c r="V468" i="7" s="1"/>
  <c r="V469" i="7" s="1"/>
  <c r="V470" i="7" s="1"/>
  <c r="V471" i="7" s="1"/>
  <c r="V472" i="7" s="1"/>
  <c r="V473" i="7" s="1"/>
  <c r="V474" i="7" s="1"/>
  <c r="D476" i="7" s="1"/>
  <c r="D477" i="7" s="1"/>
  <c r="D478" i="7" s="1"/>
  <c r="D479" i="7" s="1"/>
  <c r="D480" i="7" s="1"/>
  <c r="D481" i="7" s="1"/>
  <c r="D482" i="7" s="1"/>
  <c r="D483" i="7" s="1"/>
  <c r="D484" i="7" s="1"/>
  <c r="D485" i="7" s="1"/>
  <c r="D486" i="7" s="1"/>
  <c r="G476" i="7" s="1"/>
  <c r="G477" i="7" s="1"/>
  <c r="G478" i="7" s="1"/>
  <c r="G479" i="7" s="1"/>
  <c r="G480" i="7" s="1"/>
  <c r="G481" i="7" s="1"/>
  <c r="G482" i="7" s="1"/>
  <c r="G483" i="7" s="1"/>
  <c r="G484" i="7" s="1"/>
  <c r="G485" i="7" s="1"/>
  <c r="G486" i="7" s="1"/>
  <c r="J476" i="7" s="1"/>
  <c r="J477" i="7" s="1"/>
  <c r="J478" i="7" s="1"/>
  <c r="J479" i="7" s="1"/>
  <c r="J480" i="7" s="1"/>
  <c r="J481" i="7" s="1"/>
  <c r="J482" i="7" s="1"/>
  <c r="J483" i="7" s="1"/>
  <c r="J484" i="7" s="1"/>
  <c r="J485" i="7" s="1"/>
  <c r="J486" i="7" s="1"/>
  <c r="M476" i="7" s="1"/>
  <c r="M477" i="7" s="1"/>
  <c r="M478" i="7" s="1"/>
  <c r="M479" i="7" s="1"/>
  <c r="M480" i="7" s="1"/>
  <c r="M481" i="7" s="1"/>
  <c r="M482" i="7" s="1"/>
  <c r="M483" i="7" s="1"/>
  <c r="M484" i="7" s="1"/>
  <c r="M485" i="7" s="1"/>
  <c r="M486" i="7" s="1"/>
  <c r="P476" i="7" s="1"/>
  <c r="P477" i="7" s="1"/>
  <c r="P478" i="7" s="1"/>
  <c r="P479" i="7" s="1"/>
  <c r="P480" i="7" s="1"/>
  <c r="P481" i="7" s="1"/>
  <c r="P482" i="7" s="1"/>
  <c r="P483" i="7" s="1"/>
  <c r="P484" i="7" s="1"/>
  <c r="P485" i="7" s="1"/>
  <c r="P486" i="7" s="1"/>
  <c r="S476" i="7" s="1"/>
  <c r="S477" i="7" s="1"/>
  <c r="S478" i="7" s="1"/>
  <c r="S479" i="7" s="1"/>
  <c r="S480" i="7" s="1"/>
  <c r="S481" i="7" s="1"/>
  <c r="S482" i="7" s="1"/>
  <c r="S483" i="7" s="1"/>
  <c r="S484" i="7" s="1"/>
  <c r="S485" i="7" s="1"/>
  <c r="S486" i="7" s="1"/>
  <c r="V476" i="7" s="1"/>
  <c r="V477" i="7" s="1"/>
  <c r="V478" i="7" s="1"/>
  <c r="V479" i="7" s="1"/>
  <c r="V480" i="7" s="1"/>
  <c r="V481" i="7" s="1"/>
  <c r="V482" i="7" s="1"/>
  <c r="V483" i="7" s="1"/>
  <c r="V484" i="7" s="1"/>
  <c r="V485" i="7" s="1"/>
  <c r="V486" i="7" s="1"/>
  <c r="D488" i="7" s="1"/>
  <c r="D489" i="7" s="1"/>
  <c r="D490" i="7" s="1"/>
  <c r="D491" i="7" s="1"/>
  <c r="D492" i="7" s="1"/>
  <c r="D493" i="7" s="1"/>
  <c r="D494" i="7" s="1"/>
  <c r="D495" i="7" s="1"/>
  <c r="D496" i="7" s="1"/>
  <c r="D497" i="7" s="1"/>
  <c r="D498" i="7" s="1"/>
  <c r="G488" i="7" s="1"/>
  <c r="G489" i="7" s="1"/>
  <c r="G490" i="7" s="1"/>
  <c r="G491" i="7" s="1"/>
  <c r="G492" i="7" s="1"/>
  <c r="G493" i="7" s="1"/>
  <c r="G494" i="7" s="1"/>
  <c r="G495" i="7" s="1"/>
  <c r="G496" i="7" s="1"/>
  <c r="G497" i="7" s="1"/>
  <c r="G498" i="7" s="1"/>
  <c r="J488" i="7" s="1"/>
  <c r="J489" i="7" s="1"/>
  <c r="J490" i="7" s="1"/>
  <c r="J491" i="7" s="1"/>
  <c r="J492" i="7" s="1"/>
  <c r="J493" i="7" s="1"/>
  <c r="J494" i="7" s="1"/>
  <c r="J495" i="7" s="1"/>
  <c r="J496" i="7" s="1"/>
  <c r="J497" i="7" s="1"/>
  <c r="J498" i="7" s="1"/>
  <c r="M488" i="7" s="1"/>
  <c r="M489" i="7" s="1"/>
  <c r="M490" i="7" s="1"/>
  <c r="M491" i="7" s="1"/>
  <c r="M492" i="7" s="1"/>
  <c r="M493" i="7" s="1"/>
  <c r="M494" i="7" s="1"/>
  <c r="M495" i="7" s="1"/>
  <c r="M496" i="7" s="1"/>
  <c r="M497" i="7" s="1"/>
  <c r="M498" i="7" s="1"/>
  <c r="P488" i="7" s="1"/>
  <c r="P489" i="7" s="1"/>
  <c r="P490" i="7" s="1"/>
  <c r="P491" i="7" s="1"/>
  <c r="P492" i="7" s="1"/>
  <c r="P493" i="7" s="1"/>
  <c r="P494" i="7" s="1"/>
  <c r="P495" i="7" s="1"/>
  <c r="P496" i="7" s="1"/>
  <c r="P497" i="7" s="1"/>
  <c r="P498" i="7" s="1"/>
  <c r="S488" i="7" s="1"/>
  <c r="S489" i="7" s="1"/>
  <c r="S490" i="7" s="1"/>
  <c r="S491" i="7" s="1"/>
  <c r="S492" i="7" s="1"/>
  <c r="S493" i="7" s="1"/>
  <c r="S494" i="7" s="1"/>
  <c r="S495" i="7" s="1"/>
  <c r="S496" i="7" s="1"/>
  <c r="S497" i="7" s="1"/>
  <c r="S498" i="7" s="1"/>
  <c r="V488" i="7" s="1"/>
  <c r="V489" i="7" s="1"/>
  <c r="V490" i="7" s="1"/>
  <c r="V491" i="7" s="1"/>
  <c r="V492" i="7" s="1"/>
  <c r="V493" i="7" s="1"/>
  <c r="V494" i="7" s="1"/>
  <c r="V495" i="7" s="1"/>
  <c r="V496" i="7" s="1"/>
  <c r="V497" i="7" s="1"/>
  <c r="V498" i="7" s="1"/>
  <c r="D500" i="7" s="1"/>
  <c r="D501" i="7" s="1"/>
  <c r="D502" i="7" s="1"/>
  <c r="D503" i="7" s="1"/>
  <c r="D504" i="7" s="1"/>
  <c r="D505" i="7" s="1"/>
  <c r="D506" i="7" s="1"/>
  <c r="D507" i="7" s="1"/>
  <c r="D508" i="7" s="1"/>
  <c r="D509" i="7" s="1"/>
  <c r="D510" i="7" s="1"/>
  <c r="G500" i="7" s="1"/>
  <c r="G501" i="7" s="1"/>
  <c r="G502" i="7" s="1"/>
  <c r="G503" i="7" s="1"/>
  <c r="G504" i="7" s="1"/>
  <c r="G505" i="7" s="1"/>
  <c r="G506" i="7" s="1"/>
  <c r="G507" i="7" s="1"/>
  <c r="G508" i="7" s="1"/>
  <c r="G509" i="7" s="1"/>
  <c r="G510" i="7" s="1"/>
  <c r="J500" i="7" s="1"/>
  <c r="J501" i="7" s="1"/>
  <c r="J502" i="7" s="1"/>
  <c r="J503" i="7" s="1"/>
  <c r="J504" i="7" s="1"/>
  <c r="J505" i="7" s="1"/>
  <c r="J506" i="7" s="1"/>
  <c r="J507" i="7" s="1"/>
  <c r="J508" i="7" s="1"/>
  <c r="J509" i="7" s="1"/>
  <c r="J510" i="7" s="1"/>
  <c r="M500" i="7" s="1"/>
  <c r="M501" i="7" s="1"/>
  <c r="M502" i="7" s="1"/>
  <c r="M503" i="7" s="1"/>
  <c r="M504" i="7" s="1"/>
  <c r="M505" i="7" s="1"/>
  <c r="M506" i="7" s="1"/>
  <c r="M507" i="7" s="1"/>
  <c r="M508" i="7" s="1"/>
  <c r="M509" i="7" s="1"/>
  <c r="M510" i="7" s="1"/>
  <c r="P500" i="7" s="1"/>
  <c r="P501" i="7" s="1"/>
  <c r="P502" i="7" s="1"/>
  <c r="P503" i="7" s="1"/>
  <c r="P504" i="7" s="1"/>
  <c r="P505" i="7" s="1"/>
  <c r="P506" i="7" s="1"/>
  <c r="P507" i="7" s="1"/>
  <c r="P508" i="7" s="1"/>
  <c r="P509" i="7" s="1"/>
  <c r="P510" i="7" s="1"/>
  <c r="S500" i="7" s="1"/>
  <c r="S501" i="7" s="1"/>
  <c r="S502" i="7" s="1"/>
  <c r="S503" i="7" s="1"/>
  <c r="S504" i="7" s="1"/>
  <c r="S505" i="7" s="1"/>
  <c r="S506" i="7" s="1"/>
  <c r="S507" i="7" s="1"/>
  <c r="S508" i="7" s="1"/>
  <c r="S509" i="7" s="1"/>
  <c r="S510" i="7" s="1"/>
  <c r="V500" i="7" s="1"/>
  <c r="V501" i="7" s="1"/>
  <c r="V502" i="7" s="1"/>
  <c r="V503" i="7" s="1"/>
  <c r="V504" i="7" s="1"/>
  <c r="V505" i="7" s="1"/>
  <c r="V506" i="7" s="1"/>
  <c r="V507" i="7" s="1"/>
  <c r="V508" i="7" s="1"/>
  <c r="V509" i="7" s="1"/>
  <c r="V510" i="7" s="1"/>
  <c r="D512" i="7" s="1"/>
  <c r="D513" i="7" s="1"/>
  <c r="D514" i="7" s="1"/>
  <c r="D515" i="7" s="1"/>
  <c r="D516" i="7" s="1"/>
  <c r="D517" i="7" s="1"/>
  <c r="D518" i="7" s="1"/>
  <c r="D519" i="7" s="1"/>
  <c r="D520" i="7" s="1"/>
  <c r="D521" i="7" s="1"/>
  <c r="D522" i="7" s="1"/>
  <c r="G512" i="7" s="1"/>
  <c r="G513" i="7" s="1"/>
  <c r="G514" i="7" s="1"/>
  <c r="G515" i="7" s="1"/>
  <c r="G516" i="7" s="1"/>
  <c r="G517" i="7" s="1"/>
  <c r="G518" i="7" s="1"/>
  <c r="G519" i="7" s="1"/>
  <c r="G520" i="7" s="1"/>
  <c r="G521" i="7" s="1"/>
  <c r="G522" i="7" s="1"/>
  <c r="J512" i="7" s="1"/>
  <c r="J513" i="7" s="1"/>
  <c r="J514" i="7" s="1"/>
  <c r="J515" i="7" s="1"/>
  <c r="J516" i="7" s="1"/>
  <c r="J517" i="7" s="1"/>
  <c r="J518" i="7" s="1"/>
  <c r="J519" i="7" s="1"/>
  <c r="J520" i="7" s="1"/>
  <c r="J521" i="7" s="1"/>
  <c r="J522" i="7" s="1"/>
  <c r="M512" i="7" s="1"/>
  <c r="M513" i="7" s="1"/>
  <c r="M514" i="7" s="1"/>
  <c r="M515" i="7" s="1"/>
  <c r="M516" i="7" s="1"/>
  <c r="M517" i="7" s="1"/>
  <c r="M518" i="7" s="1"/>
  <c r="M519" i="7" s="1"/>
  <c r="M520" i="7" s="1"/>
  <c r="M521" i="7" s="1"/>
  <c r="M522" i="7" s="1"/>
  <c r="P512" i="7" s="1"/>
  <c r="P513" i="7" s="1"/>
  <c r="P514" i="7" s="1"/>
  <c r="P515" i="7" s="1"/>
  <c r="P516" i="7" s="1"/>
  <c r="P517" i="7" s="1"/>
  <c r="P518" i="7" s="1"/>
  <c r="P519" i="7" s="1"/>
  <c r="P520" i="7" s="1"/>
  <c r="P521" i="7" s="1"/>
  <c r="P522" i="7" s="1"/>
  <c r="S512" i="7" s="1"/>
  <c r="S513" i="7" s="1"/>
  <c r="S514" i="7" s="1"/>
  <c r="S515" i="7" s="1"/>
  <c r="S516" i="7" s="1"/>
  <c r="S517" i="7" s="1"/>
  <c r="S518" i="7" s="1"/>
  <c r="S519" i="7" s="1"/>
  <c r="S520" i="7" s="1"/>
  <c r="S521" i="7" s="1"/>
  <c r="S522" i="7" s="1"/>
  <c r="V512" i="7" s="1"/>
  <c r="V513" i="7" s="1"/>
  <c r="V514" i="7" s="1"/>
  <c r="V515" i="7" s="1"/>
  <c r="V516" i="7" s="1"/>
  <c r="V517" i="7" s="1"/>
  <c r="V518" i="7" s="1"/>
  <c r="V519" i="7" s="1"/>
  <c r="V520" i="7" s="1"/>
  <c r="V521" i="7" s="1"/>
  <c r="V522" i="7" s="1"/>
  <c r="D524" i="7" s="1"/>
  <c r="D525" i="7" s="1"/>
  <c r="D526" i="7" s="1"/>
  <c r="D527" i="7" s="1"/>
  <c r="D528" i="7" s="1"/>
  <c r="D529" i="7" s="1"/>
  <c r="D530" i="7" s="1"/>
  <c r="D531" i="7" s="1"/>
  <c r="D532" i="7" s="1"/>
  <c r="D533" i="7" s="1"/>
  <c r="D534" i="7" s="1"/>
  <c r="G524" i="7" s="1"/>
  <c r="G525" i="7" s="1"/>
  <c r="G526" i="7" s="1"/>
  <c r="G527" i="7" s="1"/>
  <c r="G528" i="7" s="1"/>
  <c r="G529" i="7" s="1"/>
  <c r="G530" i="7" s="1"/>
  <c r="G531" i="7" s="1"/>
  <c r="G532" i="7" s="1"/>
  <c r="G533" i="7" s="1"/>
  <c r="G534" i="7" s="1"/>
  <c r="J524" i="7" s="1"/>
  <c r="J525" i="7" s="1"/>
  <c r="J526" i="7" s="1"/>
  <c r="J527" i="7" s="1"/>
  <c r="J528" i="7" s="1"/>
  <c r="J529" i="7" s="1"/>
  <c r="J530" i="7" s="1"/>
  <c r="J531" i="7" s="1"/>
  <c r="J532" i="7" s="1"/>
  <c r="J533" i="7" s="1"/>
  <c r="J534" i="7" s="1"/>
  <c r="M524" i="7" s="1"/>
  <c r="M525" i="7" s="1"/>
  <c r="M526" i="7" s="1"/>
  <c r="M527" i="7" s="1"/>
  <c r="M528" i="7" s="1"/>
  <c r="M529" i="7" s="1"/>
  <c r="M530" i="7" s="1"/>
  <c r="M531" i="7" s="1"/>
  <c r="M532" i="7" s="1"/>
  <c r="M533" i="7" s="1"/>
  <c r="M534" i="7" s="1"/>
  <c r="P524" i="7" s="1"/>
  <c r="P525" i="7" s="1"/>
  <c r="P526" i="7" s="1"/>
  <c r="P527" i="7" s="1"/>
  <c r="P528" i="7" s="1"/>
  <c r="P529" i="7" s="1"/>
  <c r="P530" i="7" s="1"/>
  <c r="P531" i="7" s="1"/>
  <c r="P532" i="7" s="1"/>
  <c r="P533" i="7" s="1"/>
  <c r="P534" i="7" s="1"/>
  <c r="S524" i="7" s="1"/>
  <c r="S525" i="7" s="1"/>
  <c r="S526" i="7" s="1"/>
  <c r="S527" i="7" s="1"/>
  <c r="S528" i="7" s="1"/>
  <c r="S529" i="7" s="1"/>
  <c r="S530" i="7" s="1"/>
  <c r="S531" i="7" s="1"/>
  <c r="S532" i="7" s="1"/>
  <c r="S533" i="7" s="1"/>
  <c r="S534" i="7" s="1"/>
  <c r="V524" i="7" s="1"/>
  <c r="V525" i="7" s="1"/>
  <c r="V526" i="7" s="1"/>
  <c r="V527" i="7" s="1"/>
  <c r="V528" i="7" s="1"/>
  <c r="V529" i="7" s="1"/>
  <c r="V530" i="7" s="1"/>
  <c r="V531" i="7" s="1"/>
  <c r="V532" i="7" s="1"/>
  <c r="V533" i="7" s="1"/>
  <c r="V534" i="7" s="1"/>
  <c r="D536" i="7" s="1"/>
  <c r="D537" i="7" s="1"/>
  <c r="D538" i="7" s="1"/>
  <c r="D539" i="7" s="1"/>
  <c r="D540" i="7" s="1"/>
  <c r="D541" i="7" s="1"/>
  <c r="D542" i="7" s="1"/>
  <c r="D543" i="7" s="1"/>
  <c r="D544" i="7" s="1"/>
  <c r="D545" i="7" s="1"/>
  <c r="D546" i="7" s="1"/>
  <c r="G536" i="7" s="1"/>
  <c r="G537" i="7" s="1"/>
  <c r="G538" i="7" s="1"/>
  <c r="G539" i="7" s="1"/>
  <c r="G540" i="7" s="1"/>
  <c r="G541" i="7" s="1"/>
  <c r="G542" i="7" s="1"/>
  <c r="G543" i="7" s="1"/>
  <c r="G544" i="7" s="1"/>
  <c r="G545" i="7" s="1"/>
  <c r="G546" i="7" s="1"/>
  <c r="J536" i="7" s="1"/>
  <c r="J537" i="7" s="1"/>
  <c r="J538" i="7" s="1"/>
  <c r="J539" i="7" s="1"/>
  <c r="J540" i="7" s="1"/>
  <c r="J541" i="7" s="1"/>
  <c r="J542" i="7" s="1"/>
  <c r="J543" i="7" s="1"/>
  <c r="J544" i="7" s="1"/>
  <c r="J545" i="7" s="1"/>
  <c r="J546" i="7" s="1"/>
  <c r="M536" i="7" s="1"/>
  <c r="M537" i="7" s="1"/>
  <c r="M538" i="7" s="1"/>
  <c r="M539" i="7" s="1"/>
  <c r="M540" i="7" s="1"/>
  <c r="M541" i="7" s="1"/>
  <c r="M542" i="7" s="1"/>
  <c r="M543" i="7" s="1"/>
  <c r="M544" i="7" s="1"/>
  <c r="M545" i="7" s="1"/>
  <c r="M546" i="7" s="1"/>
  <c r="P536" i="7" s="1"/>
  <c r="P537" i="7" s="1"/>
  <c r="P538" i="7" s="1"/>
  <c r="P539" i="7" s="1"/>
  <c r="P540" i="7" s="1"/>
  <c r="P541" i="7" s="1"/>
  <c r="P542" i="7" s="1"/>
  <c r="P543" i="7" s="1"/>
  <c r="P544" i="7" s="1"/>
  <c r="P545" i="7" s="1"/>
  <c r="P546" i="7" s="1"/>
  <c r="S536" i="7" s="1"/>
  <c r="S537" i="7" s="1"/>
  <c r="S538" i="7" s="1"/>
  <c r="S539" i="7" s="1"/>
  <c r="S540" i="7" s="1"/>
  <c r="S541" i="7" s="1"/>
  <c r="S542" i="7" s="1"/>
  <c r="S543" i="7" s="1"/>
  <c r="S544" i="7" s="1"/>
  <c r="S545" i="7" s="1"/>
  <c r="S546" i="7" s="1"/>
  <c r="V536" i="7" s="1"/>
  <c r="V537" i="7" s="1"/>
  <c r="V538" i="7" s="1"/>
  <c r="V539" i="7" s="1"/>
  <c r="V540" i="7" s="1"/>
  <c r="V541" i="7" s="1"/>
  <c r="V542" i="7" s="1"/>
  <c r="V543" i="7" s="1"/>
  <c r="V544" i="7" s="1"/>
  <c r="V545" i="7" s="1"/>
  <c r="V546" i="7" s="1"/>
  <c r="D548" i="7" s="1"/>
  <c r="D549" i="7" s="1"/>
  <c r="D550" i="7" s="1"/>
  <c r="D551" i="7" s="1"/>
  <c r="D552" i="7" s="1"/>
  <c r="D553" i="7" s="1"/>
  <c r="D554" i="7" s="1"/>
  <c r="D555" i="7" s="1"/>
  <c r="D556" i="7" s="1"/>
  <c r="D557" i="7" s="1"/>
  <c r="D558" i="7" s="1"/>
  <c r="G548" i="7" s="1"/>
  <c r="G549" i="7" s="1"/>
  <c r="G550" i="7" s="1"/>
  <c r="G551" i="7" s="1"/>
  <c r="G552" i="7" s="1"/>
  <c r="G553" i="7" s="1"/>
  <c r="G554" i="7" s="1"/>
  <c r="G555" i="7" s="1"/>
  <c r="G556" i="7" s="1"/>
  <c r="G557" i="7" s="1"/>
  <c r="G558" i="7" s="1"/>
  <c r="J548" i="7" s="1"/>
  <c r="J549" i="7" s="1"/>
  <c r="J550" i="7" s="1"/>
  <c r="J551" i="7" s="1"/>
  <c r="J552" i="7" s="1"/>
  <c r="J553" i="7" s="1"/>
  <c r="J554" i="7" s="1"/>
  <c r="J555" i="7" s="1"/>
  <c r="J556" i="7" s="1"/>
  <c r="J557" i="7" s="1"/>
  <c r="J558" i="7" s="1"/>
  <c r="M548" i="7" s="1"/>
  <c r="M549" i="7" s="1"/>
  <c r="M550" i="7" s="1"/>
  <c r="M551" i="7" s="1"/>
  <c r="M552" i="7" s="1"/>
  <c r="M553" i="7" s="1"/>
  <c r="M554" i="7" s="1"/>
  <c r="M555" i="7" s="1"/>
  <c r="M556" i="7" s="1"/>
  <c r="M557" i="7" s="1"/>
  <c r="M558" i="7" s="1"/>
  <c r="P548" i="7" s="1"/>
  <c r="P549" i="7" s="1"/>
  <c r="P550" i="7" s="1"/>
  <c r="P551" i="7" s="1"/>
  <c r="P552" i="7" s="1"/>
  <c r="P553" i="7" s="1"/>
  <c r="P554" i="7" s="1"/>
  <c r="P555" i="7" s="1"/>
  <c r="P556" i="7" s="1"/>
  <c r="P557" i="7" s="1"/>
  <c r="P558" i="7" s="1"/>
  <c r="S548" i="7" s="1"/>
  <c r="S549" i="7" s="1"/>
  <c r="S550" i="7" s="1"/>
  <c r="S551" i="7" s="1"/>
  <c r="S552" i="7" s="1"/>
  <c r="S553" i="7" s="1"/>
  <c r="S554" i="7" s="1"/>
  <c r="S555" i="7" s="1"/>
  <c r="S556" i="7" s="1"/>
  <c r="S557" i="7" s="1"/>
  <c r="S558" i="7" s="1"/>
  <c r="V548" i="7" s="1"/>
  <c r="V549" i="7" s="1"/>
  <c r="V550" i="7" s="1"/>
  <c r="V551" i="7" s="1"/>
  <c r="V552" i="7" s="1"/>
  <c r="V553" i="7" s="1"/>
  <c r="V554" i="7" s="1"/>
  <c r="V555" i="7" s="1"/>
  <c r="V556" i="7" s="1"/>
  <c r="V557" i="7" s="1"/>
  <c r="V558" i="7" s="1"/>
  <c r="D560" i="7" s="1"/>
  <c r="D561" i="7" s="1"/>
  <c r="D562" i="7" s="1"/>
  <c r="D563" i="7" s="1"/>
  <c r="D564" i="7" s="1"/>
  <c r="D565" i="7" s="1"/>
  <c r="D566" i="7" s="1"/>
  <c r="D567" i="7" s="1"/>
  <c r="D568" i="7" s="1"/>
  <c r="D569" i="7" s="1"/>
  <c r="D570" i="7" s="1"/>
  <c r="G560" i="7" s="1"/>
  <c r="G561" i="7" s="1"/>
  <c r="G562" i="7" s="1"/>
  <c r="G563" i="7" s="1"/>
  <c r="G564" i="7" s="1"/>
  <c r="G565" i="7" s="1"/>
  <c r="G566" i="7" s="1"/>
  <c r="G567" i="7" s="1"/>
  <c r="G568" i="7" s="1"/>
  <c r="G569" i="7" s="1"/>
  <c r="G570" i="7" s="1"/>
  <c r="J560" i="7" s="1"/>
  <c r="J561" i="7" s="1"/>
  <c r="J562" i="7" s="1"/>
  <c r="J563" i="7" s="1"/>
  <c r="J564" i="7" s="1"/>
  <c r="J565" i="7" s="1"/>
  <c r="J566" i="7" s="1"/>
  <c r="J567" i="7" s="1"/>
  <c r="J568" i="7" s="1"/>
  <c r="J569" i="7" s="1"/>
  <c r="J570" i="7" s="1"/>
  <c r="M560" i="7" s="1"/>
  <c r="M561" i="7" s="1"/>
  <c r="M562" i="7" s="1"/>
  <c r="M563" i="7" s="1"/>
  <c r="M564" i="7" s="1"/>
  <c r="M565" i="7" s="1"/>
  <c r="M566" i="7" s="1"/>
  <c r="M567" i="7" s="1"/>
  <c r="M568" i="7" s="1"/>
  <c r="M569" i="7" s="1"/>
  <c r="M570" i="7" s="1"/>
  <c r="P560" i="7" s="1"/>
  <c r="P561" i="7" s="1"/>
  <c r="P562" i="7" s="1"/>
  <c r="P563" i="7" s="1"/>
  <c r="P564" i="7" s="1"/>
  <c r="P565" i="7" s="1"/>
  <c r="P566" i="7" s="1"/>
  <c r="P567" i="7" s="1"/>
  <c r="P568" i="7" s="1"/>
  <c r="P569" i="7" s="1"/>
  <c r="P570" i="7" s="1"/>
  <c r="S560" i="7" s="1"/>
  <c r="S561" i="7" s="1"/>
  <c r="S562" i="7" s="1"/>
  <c r="S563" i="7" s="1"/>
  <c r="S564" i="7" s="1"/>
  <c r="S565" i="7" s="1"/>
  <c r="S566" i="7" s="1"/>
  <c r="S567" i="7" s="1"/>
  <c r="S568" i="7" s="1"/>
  <c r="S569" i="7" s="1"/>
  <c r="S570" i="7" s="1"/>
  <c r="V560" i="7" s="1"/>
  <c r="V561" i="7" s="1"/>
  <c r="V562" i="7" s="1"/>
  <c r="V563" i="7" s="1"/>
  <c r="V564" i="7" s="1"/>
  <c r="V565" i="7" s="1"/>
  <c r="V566" i="7" s="1"/>
  <c r="V567" i="7" s="1"/>
  <c r="V568" i="7" s="1"/>
  <c r="V569" i="7" s="1"/>
  <c r="V570" i="7" s="1"/>
  <c r="D572" i="7" s="1"/>
  <c r="D573" i="7" s="1"/>
  <c r="D574" i="7" s="1"/>
  <c r="D575" i="7" s="1"/>
  <c r="D576" i="7" s="1"/>
  <c r="D577" i="7" s="1"/>
  <c r="D578" i="7" s="1"/>
  <c r="D579" i="7" s="1"/>
  <c r="D580" i="7" s="1"/>
  <c r="D581" i="7" s="1"/>
  <c r="D582" i="7" s="1"/>
  <c r="G572" i="7" s="1"/>
  <c r="G573" i="7" s="1"/>
  <c r="G574" i="7" s="1"/>
  <c r="G575" i="7" s="1"/>
  <c r="G576" i="7" s="1"/>
  <c r="G577" i="7" s="1"/>
  <c r="G578" i="7" s="1"/>
  <c r="G579" i="7" s="1"/>
  <c r="G580" i="7" s="1"/>
  <c r="G581" i="7" s="1"/>
  <c r="G582" i="7" s="1"/>
  <c r="J572" i="7" s="1"/>
  <c r="J573" i="7" s="1"/>
  <c r="J574" i="7" s="1"/>
  <c r="J575" i="7" s="1"/>
  <c r="J576" i="7" s="1"/>
  <c r="J577" i="7" s="1"/>
  <c r="J578" i="7" s="1"/>
  <c r="J579" i="7" s="1"/>
  <c r="J580" i="7" s="1"/>
  <c r="J581" i="7" s="1"/>
  <c r="J582" i="7" s="1"/>
  <c r="M572" i="7" s="1"/>
  <c r="M573" i="7" s="1"/>
  <c r="M574" i="7" s="1"/>
  <c r="M575" i="7" s="1"/>
  <c r="M576" i="7" s="1"/>
  <c r="M577" i="7" s="1"/>
  <c r="M578" i="7" s="1"/>
  <c r="M579" i="7" s="1"/>
  <c r="M580" i="7" s="1"/>
  <c r="M581" i="7" s="1"/>
  <c r="M582" i="7" s="1"/>
  <c r="P572" i="7" s="1"/>
  <c r="P573" i="7" s="1"/>
  <c r="P574" i="7" s="1"/>
  <c r="P575" i="7" s="1"/>
  <c r="P576" i="7" s="1"/>
  <c r="P577" i="7" s="1"/>
  <c r="P578" i="7" s="1"/>
  <c r="P579" i="7" s="1"/>
  <c r="P580" i="7" s="1"/>
  <c r="P581" i="7" s="1"/>
  <c r="P582" i="7" s="1"/>
  <c r="S572" i="7" s="1"/>
  <c r="S573" i="7" s="1"/>
  <c r="S574" i="7" s="1"/>
  <c r="S575" i="7" s="1"/>
  <c r="S576" i="7" s="1"/>
  <c r="S577" i="7" s="1"/>
  <c r="S578" i="7" s="1"/>
  <c r="S579" i="7" s="1"/>
  <c r="S580" i="7" s="1"/>
  <c r="S581" i="7" s="1"/>
  <c r="S582" i="7" s="1"/>
  <c r="V572" i="7" s="1"/>
  <c r="V573" i="7" s="1"/>
  <c r="V574" i="7" s="1"/>
  <c r="V575" i="7" s="1"/>
  <c r="V576" i="7" s="1"/>
  <c r="V577" i="7" s="1"/>
  <c r="V578" i="7" s="1"/>
  <c r="V579" i="7" s="1"/>
  <c r="V580" i="7" s="1"/>
  <c r="V581" i="7" s="1"/>
  <c r="V582" i="7" s="1"/>
  <c r="D584" i="7" s="1"/>
  <c r="D585" i="7" s="1"/>
  <c r="D586" i="7" s="1"/>
  <c r="D587" i="7" s="1"/>
  <c r="D588" i="7" s="1"/>
  <c r="D589" i="7" s="1"/>
  <c r="D590" i="7" s="1"/>
  <c r="D591" i="7" s="1"/>
  <c r="D592" i="7" s="1"/>
  <c r="D593" i="7" s="1"/>
  <c r="D594" i="7" s="1"/>
  <c r="G584" i="7" s="1"/>
  <c r="G585" i="7" s="1"/>
  <c r="G586" i="7" s="1"/>
  <c r="G587" i="7" s="1"/>
  <c r="G588" i="7" s="1"/>
  <c r="G589" i="7" s="1"/>
  <c r="G590" i="7" s="1"/>
  <c r="G591" i="7" s="1"/>
  <c r="G592" i="7" s="1"/>
  <c r="G593" i="7" s="1"/>
  <c r="G594" i="7" s="1"/>
  <c r="J584" i="7" s="1"/>
  <c r="J585" i="7" s="1"/>
  <c r="J586" i="7" s="1"/>
  <c r="J587" i="7" s="1"/>
  <c r="J588" i="7" s="1"/>
  <c r="J589" i="7" s="1"/>
  <c r="J590" i="7" s="1"/>
  <c r="J591" i="7" s="1"/>
  <c r="J592" i="7" s="1"/>
  <c r="J593" i="7" s="1"/>
  <c r="J594" i="7" s="1"/>
  <c r="M584" i="7" s="1"/>
  <c r="M585" i="7" s="1"/>
  <c r="M586" i="7" s="1"/>
  <c r="M587" i="7" s="1"/>
  <c r="M588" i="7" s="1"/>
  <c r="M589" i="7" s="1"/>
  <c r="M590" i="7" s="1"/>
  <c r="M591" i="7" s="1"/>
  <c r="M592" i="7" s="1"/>
  <c r="M593" i="7" s="1"/>
  <c r="M594" i="7" s="1"/>
  <c r="P584" i="7" s="1"/>
  <c r="P585" i="7" s="1"/>
  <c r="P586" i="7" s="1"/>
  <c r="P587" i="7" s="1"/>
  <c r="P588" i="7" s="1"/>
  <c r="P589" i="7" s="1"/>
  <c r="P590" i="7" s="1"/>
  <c r="P591" i="7" s="1"/>
  <c r="P592" i="7" s="1"/>
  <c r="P593" i="7" s="1"/>
  <c r="P594" i="7" s="1"/>
  <c r="S584" i="7" s="1"/>
  <c r="S585" i="7" s="1"/>
  <c r="S586" i="7" s="1"/>
  <c r="S587" i="7" s="1"/>
  <c r="S588" i="7" s="1"/>
  <c r="S589" i="7" s="1"/>
  <c r="S590" i="7" s="1"/>
  <c r="S591" i="7" s="1"/>
  <c r="S592" i="7" s="1"/>
  <c r="S593" i="7" s="1"/>
  <c r="S594" i="7" s="1"/>
  <c r="V584" i="7" s="1"/>
  <c r="V585" i="7" s="1"/>
  <c r="V586" i="7" s="1"/>
  <c r="V587" i="7" s="1"/>
  <c r="V588" i="7" s="1"/>
  <c r="V589" i="7" s="1"/>
  <c r="V590" i="7" s="1"/>
  <c r="V591" i="7" s="1"/>
  <c r="V592" i="7" s="1"/>
  <c r="V593" i="7" s="1"/>
  <c r="V594" i="7" s="1"/>
  <c r="D596" i="7" s="1"/>
  <c r="D597" i="7" s="1"/>
  <c r="D598" i="7" s="1"/>
  <c r="D599" i="7" s="1"/>
  <c r="D600" i="7" s="1"/>
  <c r="D601" i="7" s="1"/>
  <c r="D602" i="7" s="1"/>
  <c r="D603" i="7" s="1"/>
  <c r="D604" i="7" s="1"/>
  <c r="D605" i="7" s="1"/>
  <c r="D606" i="7" s="1"/>
  <c r="G596" i="7" s="1"/>
  <c r="G597" i="7" s="1"/>
  <c r="G598" i="7" s="1"/>
  <c r="G599" i="7" s="1"/>
  <c r="G600" i="7" s="1"/>
  <c r="G601" i="7" s="1"/>
  <c r="G602" i="7" s="1"/>
  <c r="G603" i="7" s="1"/>
  <c r="G604" i="7" s="1"/>
  <c r="G605" i="7" s="1"/>
  <c r="G606" i="7" s="1"/>
  <c r="J596" i="7" s="1"/>
  <c r="J597" i="7" s="1"/>
  <c r="J598" i="7" s="1"/>
  <c r="J599" i="7" s="1"/>
  <c r="J600" i="7" s="1"/>
  <c r="J601" i="7" s="1"/>
  <c r="J602" i="7" s="1"/>
  <c r="J603" i="7" s="1"/>
  <c r="J604" i="7" s="1"/>
  <c r="J605" i="7" s="1"/>
  <c r="J606" i="7" s="1"/>
  <c r="M596" i="7" s="1"/>
  <c r="M597" i="7" s="1"/>
  <c r="M598" i="7" s="1"/>
  <c r="M599" i="7" s="1"/>
  <c r="M600" i="7" s="1"/>
  <c r="M601" i="7" s="1"/>
  <c r="M602" i="7" s="1"/>
  <c r="M603" i="7" s="1"/>
  <c r="M604" i="7" s="1"/>
  <c r="M605" i="7" s="1"/>
  <c r="M606" i="7" s="1"/>
  <c r="P596" i="7" s="1"/>
  <c r="P597" i="7" s="1"/>
  <c r="P598" i="7" s="1"/>
  <c r="P599" i="7" s="1"/>
  <c r="P600" i="7" s="1"/>
  <c r="P601" i="7" s="1"/>
  <c r="P602" i="7" s="1"/>
  <c r="P603" i="7" s="1"/>
  <c r="P604" i="7" s="1"/>
  <c r="P605" i="7" s="1"/>
  <c r="P606" i="7" s="1"/>
  <c r="S596" i="7" s="1"/>
  <c r="S597" i="7" s="1"/>
  <c r="S598" i="7" s="1"/>
  <c r="S599" i="7" s="1"/>
  <c r="S600" i="7" s="1"/>
  <c r="S601" i="7" s="1"/>
  <c r="S602" i="7" s="1"/>
  <c r="S603" i="7" s="1"/>
  <c r="S604" i="7" s="1"/>
  <c r="S605" i="7" s="1"/>
  <c r="S606" i="7" s="1"/>
  <c r="V596" i="7" s="1"/>
  <c r="V597" i="7" s="1"/>
  <c r="V598" i="7" s="1"/>
  <c r="V599" i="7" s="1"/>
  <c r="V600" i="7" s="1"/>
  <c r="V601" i="7" s="1"/>
  <c r="V602" i="7" s="1"/>
  <c r="V603" i="7" s="1"/>
  <c r="V604" i="7" s="1"/>
  <c r="V605" i="7" s="1"/>
  <c r="V606" i="7" s="1"/>
  <c r="D608" i="7" s="1"/>
  <c r="D609" i="7" s="1"/>
  <c r="D610" i="7" s="1"/>
  <c r="D611" i="7" s="1"/>
  <c r="D612" i="7" s="1"/>
  <c r="D613" i="7" s="1"/>
  <c r="D614" i="7" s="1"/>
  <c r="D615" i="7" s="1"/>
  <c r="D616" i="7" s="1"/>
  <c r="D617" i="7" s="1"/>
  <c r="D618" i="7" s="1"/>
  <c r="G608" i="7" s="1"/>
  <c r="G609" i="7" s="1"/>
  <c r="G610" i="7" s="1"/>
  <c r="G611" i="7" s="1"/>
  <c r="G612" i="7" s="1"/>
  <c r="G613" i="7" s="1"/>
  <c r="G614" i="7" s="1"/>
  <c r="G615" i="7" s="1"/>
  <c r="G616" i="7" s="1"/>
  <c r="G617" i="7" s="1"/>
  <c r="G618" i="7" s="1"/>
  <c r="J608" i="7" s="1"/>
  <c r="J609" i="7" s="1"/>
  <c r="J610" i="7" s="1"/>
  <c r="J611" i="7" s="1"/>
  <c r="J612" i="7" s="1"/>
  <c r="J613" i="7" s="1"/>
  <c r="J614" i="7" s="1"/>
  <c r="J615" i="7" s="1"/>
  <c r="J616" i="7" s="1"/>
  <c r="J617" i="7" s="1"/>
  <c r="J618" i="7" s="1"/>
  <c r="M608" i="7" s="1"/>
  <c r="M609" i="7" s="1"/>
  <c r="M610" i="7" s="1"/>
  <c r="M611" i="7" s="1"/>
  <c r="M612" i="7" s="1"/>
  <c r="M613" i="7" s="1"/>
  <c r="M614" i="7" s="1"/>
  <c r="M615" i="7" s="1"/>
  <c r="M616" i="7" s="1"/>
  <c r="M617" i="7" s="1"/>
  <c r="M618" i="7" s="1"/>
  <c r="P608" i="7" s="1"/>
  <c r="P609" i="7" s="1"/>
  <c r="P610" i="7" s="1"/>
  <c r="P611" i="7" s="1"/>
  <c r="P612" i="7" s="1"/>
  <c r="P613" i="7" s="1"/>
  <c r="P614" i="7" s="1"/>
  <c r="P615" i="7" s="1"/>
  <c r="P616" i="7" s="1"/>
  <c r="P617" i="7" s="1"/>
  <c r="P618" i="7" s="1"/>
  <c r="S608" i="7" s="1"/>
  <c r="S609" i="7" s="1"/>
  <c r="S610" i="7" s="1"/>
  <c r="S611" i="7" s="1"/>
  <c r="S612" i="7" s="1"/>
  <c r="S613" i="7" s="1"/>
  <c r="S614" i="7" s="1"/>
  <c r="S615" i="7" s="1"/>
  <c r="S616" i="7" s="1"/>
  <c r="S617" i="7" s="1"/>
  <c r="S618" i="7" s="1"/>
  <c r="V608" i="7" s="1"/>
  <c r="V609" i="7" s="1"/>
  <c r="V610" i="7" s="1"/>
  <c r="V611" i="7" s="1"/>
  <c r="V612" i="7" s="1"/>
  <c r="V613" i="7" s="1"/>
  <c r="V614" i="7" s="1"/>
  <c r="V615" i="7" s="1"/>
  <c r="V616" i="7" s="1"/>
  <c r="V617" i="7" s="1"/>
  <c r="V618" i="7" s="1"/>
  <c r="D620" i="7" s="1"/>
  <c r="D621" i="7" s="1"/>
  <c r="D622" i="7" s="1"/>
  <c r="D623" i="7" s="1"/>
  <c r="D624" i="7" s="1"/>
  <c r="D625" i="7" s="1"/>
  <c r="D626" i="7" s="1"/>
  <c r="D627" i="7" s="1"/>
  <c r="D628" i="7" s="1"/>
  <c r="D629" i="7" s="1"/>
  <c r="D630" i="7" s="1"/>
  <c r="G620" i="7" s="1"/>
  <c r="G621" i="7" s="1"/>
  <c r="G622" i="7" s="1"/>
  <c r="G623" i="7" s="1"/>
  <c r="G624" i="7" s="1"/>
  <c r="G625" i="7" s="1"/>
  <c r="G626" i="7" s="1"/>
  <c r="G627" i="7" s="1"/>
  <c r="G628" i="7" s="1"/>
  <c r="G629" i="7" s="1"/>
  <c r="G630" i="7" s="1"/>
  <c r="J620" i="7" s="1"/>
  <c r="J621" i="7" s="1"/>
  <c r="J622" i="7" s="1"/>
  <c r="J623" i="7" s="1"/>
  <c r="J624" i="7" s="1"/>
  <c r="J625" i="7" s="1"/>
  <c r="J626" i="7" s="1"/>
  <c r="J627" i="7" s="1"/>
  <c r="J628" i="7" s="1"/>
  <c r="J629" i="7" s="1"/>
  <c r="J630" i="7" s="1"/>
  <c r="M620" i="7" s="1"/>
  <c r="M621" i="7" s="1"/>
  <c r="M622" i="7" s="1"/>
  <c r="M623" i="7" s="1"/>
  <c r="M624" i="7" s="1"/>
  <c r="M625" i="7" s="1"/>
  <c r="M626" i="7" s="1"/>
  <c r="M627" i="7" s="1"/>
  <c r="M628" i="7" s="1"/>
  <c r="M629" i="7" s="1"/>
  <c r="M630" i="7" s="1"/>
  <c r="P620" i="7" s="1"/>
  <c r="P621" i="7" s="1"/>
  <c r="P622" i="7" s="1"/>
  <c r="P623" i="7" s="1"/>
  <c r="P624" i="7" s="1"/>
  <c r="P625" i="7" s="1"/>
  <c r="P626" i="7" s="1"/>
  <c r="P627" i="7" s="1"/>
  <c r="P628" i="7" s="1"/>
  <c r="P629" i="7" s="1"/>
  <c r="P630" i="7" s="1"/>
  <c r="S620" i="7" s="1"/>
  <c r="S621" i="7" s="1"/>
  <c r="S622" i="7" s="1"/>
  <c r="S623" i="7" s="1"/>
  <c r="S624" i="7" s="1"/>
  <c r="S625" i="7" s="1"/>
  <c r="S626" i="7" s="1"/>
  <c r="S627" i="7" s="1"/>
  <c r="S628" i="7" s="1"/>
  <c r="S629" i="7" s="1"/>
  <c r="S630" i="7" s="1"/>
  <c r="V620" i="7" s="1"/>
  <c r="V621" i="7" s="1"/>
  <c r="V622" i="7" s="1"/>
  <c r="V623" i="7" s="1"/>
  <c r="V624" i="7" s="1"/>
  <c r="V625" i="7" s="1"/>
  <c r="V626" i="7" s="1"/>
  <c r="V627" i="7" s="1"/>
  <c r="V628" i="7" s="1"/>
  <c r="V629" i="7" s="1"/>
  <c r="V630" i="7" s="1"/>
  <c r="D632" i="7" s="1"/>
  <c r="D633" i="7" s="1"/>
  <c r="D634" i="7" s="1"/>
  <c r="D635" i="7" s="1"/>
  <c r="D636" i="7" s="1"/>
  <c r="D637" i="7" s="1"/>
  <c r="D638" i="7" s="1"/>
  <c r="D639" i="7" s="1"/>
  <c r="D640" i="7" s="1"/>
  <c r="D641" i="7" s="1"/>
  <c r="D642" i="7" s="1"/>
  <c r="G632" i="7" s="1"/>
  <c r="G633" i="7" s="1"/>
  <c r="G634" i="7" s="1"/>
  <c r="G635" i="7" s="1"/>
  <c r="G636" i="7" s="1"/>
  <c r="G637" i="7" s="1"/>
  <c r="G638" i="7" s="1"/>
  <c r="G639" i="7" s="1"/>
  <c r="G640" i="7" s="1"/>
  <c r="G641" i="7" s="1"/>
  <c r="G642" i="7" s="1"/>
  <c r="J632" i="7" s="1"/>
  <c r="J633" i="7" s="1"/>
  <c r="J634" i="7" s="1"/>
  <c r="J635" i="7" s="1"/>
  <c r="J636" i="7" s="1"/>
  <c r="J637" i="7" s="1"/>
  <c r="J638" i="7" s="1"/>
  <c r="J639" i="7" s="1"/>
  <c r="J640" i="7" s="1"/>
  <c r="J641" i="7" s="1"/>
  <c r="J642" i="7" s="1"/>
  <c r="M632" i="7" s="1"/>
  <c r="M633" i="7" s="1"/>
  <c r="M634" i="7" s="1"/>
  <c r="M635" i="7" s="1"/>
  <c r="M636" i="7" s="1"/>
  <c r="M637" i="7" s="1"/>
  <c r="M638" i="7" s="1"/>
  <c r="M639" i="7" s="1"/>
  <c r="M640" i="7" s="1"/>
  <c r="M641" i="7" s="1"/>
  <c r="M642" i="7" s="1"/>
  <c r="P632" i="7" s="1"/>
  <c r="P633" i="7" s="1"/>
  <c r="P634" i="7" s="1"/>
  <c r="P635" i="7" s="1"/>
  <c r="P636" i="7" s="1"/>
  <c r="P637" i="7" s="1"/>
  <c r="P638" i="7" s="1"/>
  <c r="P639" i="7" s="1"/>
  <c r="P640" i="7" s="1"/>
  <c r="P641" i="7" s="1"/>
  <c r="P642" i="7" s="1"/>
  <c r="S632" i="7" s="1"/>
  <c r="S633" i="7" s="1"/>
  <c r="S634" i="7" s="1"/>
  <c r="S635" i="7" s="1"/>
  <c r="S636" i="7" s="1"/>
  <c r="S637" i="7" s="1"/>
  <c r="S638" i="7" s="1"/>
  <c r="S639" i="7" s="1"/>
  <c r="S640" i="7" s="1"/>
  <c r="S641" i="7" s="1"/>
  <c r="S642" i="7" s="1"/>
  <c r="V632" i="7" s="1"/>
  <c r="V633" i="7" s="1"/>
  <c r="V634" i="7" s="1"/>
  <c r="V635" i="7" s="1"/>
  <c r="V636" i="7" s="1"/>
  <c r="V637" i="7" s="1"/>
  <c r="V638" i="7" s="1"/>
  <c r="V639" i="7" s="1"/>
  <c r="V640" i="7" s="1"/>
  <c r="V641" i="7" s="1"/>
  <c r="V642" i="7" s="1"/>
  <c r="D8" i="7"/>
  <c r="D9" i="7" s="1"/>
  <c r="T2" i="7"/>
  <c r="Q2" i="7"/>
  <c r="N2" i="7"/>
  <c r="K2" i="7"/>
  <c r="H2" i="7"/>
  <c r="E2" i="7"/>
  <c r="T631" i="6"/>
  <c r="Q631" i="6"/>
  <c r="N631" i="6"/>
  <c r="K631" i="6"/>
  <c r="H631" i="6"/>
  <c r="E631" i="6"/>
  <c r="B631" i="6"/>
  <c r="T619" i="6"/>
  <c r="Q619" i="6"/>
  <c r="N619" i="6"/>
  <c r="K619" i="6"/>
  <c r="H619" i="6"/>
  <c r="E619" i="6"/>
  <c r="B619" i="6"/>
  <c r="T607" i="6"/>
  <c r="Q607" i="6"/>
  <c r="N607" i="6"/>
  <c r="K607" i="6"/>
  <c r="H607" i="6"/>
  <c r="E607" i="6"/>
  <c r="B607" i="6"/>
  <c r="T595" i="6"/>
  <c r="Q595" i="6"/>
  <c r="N595" i="6"/>
  <c r="K595" i="6"/>
  <c r="H595" i="6"/>
  <c r="E595" i="6"/>
  <c r="B595" i="6"/>
  <c r="T583" i="6"/>
  <c r="Q583" i="6"/>
  <c r="N583" i="6"/>
  <c r="K583" i="6"/>
  <c r="H583" i="6"/>
  <c r="E583" i="6"/>
  <c r="B583" i="6"/>
  <c r="T571" i="6"/>
  <c r="Q571" i="6"/>
  <c r="N571" i="6"/>
  <c r="K571" i="6"/>
  <c r="H571" i="6"/>
  <c r="E571" i="6"/>
  <c r="B571" i="6"/>
  <c r="T559" i="6"/>
  <c r="Q559" i="6"/>
  <c r="N559" i="6"/>
  <c r="K559" i="6"/>
  <c r="H559" i="6"/>
  <c r="E559" i="6"/>
  <c r="B559" i="6"/>
  <c r="T547" i="6"/>
  <c r="Q547" i="6"/>
  <c r="N547" i="6"/>
  <c r="K547" i="6"/>
  <c r="H547" i="6"/>
  <c r="E547" i="6"/>
  <c r="B547" i="6"/>
  <c r="T535" i="6"/>
  <c r="Q535" i="6"/>
  <c r="N535" i="6"/>
  <c r="K535" i="6"/>
  <c r="H535" i="6"/>
  <c r="E535" i="6"/>
  <c r="B535" i="6"/>
  <c r="T523" i="6"/>
  <c r="Q523" i="6"/>
  <c r="N523" i="6"/>
  <c r="K523" i="6"/>
  <c r="H523" i="6"/>
  <c r="E523" i="6"/>
  <c r="B523" i="6"/>
  <c r="T511" i="6"/>
  <c r="Q511" i="6"/>
  <c r="N511" i="6"/>
  <c r="K511" i="6"/>
  <c r="H511" i="6"/>
  <c r="E511" i="6"/>
  <c r="B511" i="6"/>
  <c r="T499" i="6"/>
  <c r="Q499" i="6"/>
  <c r="N499" i="6"/>
  <c r="K499" i="6"/>
  <c r="H499" i="6"/>
  <c r="E499" i="6"/>
  <c r="B499" i="6"/>
  <c r="V493" i="6"/>
  <c r="V494" i="6" s="1"/>
  <c r="V495" i="6" s="1"/>
  <c r="V496" i="6" s="1"/>
  <c r="V497" i="6" s="1"/>
  <c r="V498" i="6" s="1"/>
  <c r="D500" i="6" s="1"/>
  <c r="D501" i="6" s="1"/>
  <c r="D502" i="6" s="1"/>
  <c r="D503" i="6" s="1"/>
  <c r="D504" i="6" s="1"/>
  <c r="D505" i="6" s="1"/>
  <c r="D506" i="6" s="1"/>
  <c r="D507" i="6" s="1"/>
  <c r="D508" i="6" s="1"/>
  <c r="D509" i="6" s="1"/>
  <c r="D510" i="6" s="1"/>
  <c r="G500" i="6" s="1"/>
  <c r="G501" i="6" s="1"/>
  <c r="G502" i="6" s="1"/>
  <c r="G503" i="6" s="1"/>
  <c r="G504" i="6" s="1"/>
  <c r="G505" i="6" s="1"/>
  <c r="G506" i="6" s="1"/>
  <c r="G507" i="6" s="1"/>
  <c r="G508" i="6" s="1"/>
  <c r="G509" i="6" s="1"/>
  <c r="G510" i="6" s="1"/>
  <c r="J500" i="6" s="1"/>
  <c r="J501" i="6" s="1"/>
  <c r="J502" i="6" s="1"/>
  <c r="J503" i="6" s="1"/>
  <c r="J504" i="6" s="1"/>
  <c r="J505" i="6" s="1"/>
  <c r="J506" i="6" s="1"/>
  <c r="J507" i="6" s="1"/>
  <c r="J508" i="6" s="1"/>
  <c r="J509" i="6" s="1"/>
  <c r="J510" i="6" s="1"/>
  <c r="M500" i="6" s="1"/>
  <c r="M501" i="6" s="1"/>
  <c r="M502" i="6" s="1"/>
  <c r="M503" i="6" s="1"/>
  <c r="M504" i="6" s="1"/>
  <c r="M505" i="6" s="1"/>
  <c r="M506" i="6" s="1"/>
  <c r="M507" i="6" s="1"/>
  <c r="M508" i="6" s="1"/>
  <c r="M509" i="6" s="1"/>
  <c r="M510" i="6" s="1"/>
  <c r="P500" i="6" s="1"/>
  <c r="P501" i="6" s="1"/>
  <c r="P502" i="6" s="1"/>
  <c r="P503" i="6" s="1"/>
  <c r="P504" i="6" s="1"/>
  <c r="P505" i="6" s="1"/>
  <c r="P506" i="6" s="1"/>
  <c r="P507" i="6" s="1"/>
  <c r="P508" i="6" s="1"/>
  <c r="P509" i="6" s="1"/>
  <c r="P510" i="6" s="1"/>
  <c r="S500" i="6" s="1"/>
  <c r="S501" i="6" s="1"/>
  <c r="S502" i="6" s="1"/>
  <c r="S503" i="6" s="1"/>
  <c r="S504" i="6" s="1"/>
  <c r="S505" i="6" s="1"/>
  <c r="S506" i="6" s="1"/>
  <c r="S507" i="6" s="1"/>
  <c r="S508" i="6" s="1"/>
  <c r="S509" i="6" s="1"/>
  <c r="S510" i="6" s="1"/>
  <c r="V500" i="6" s="1"/>
  <c r="V501" i="6" s="1"/>
  <c r="V502" i="6" s="1"/>
  <c r="V503" i="6" s="1"/>
  <c r="V504" i="6" s="1"/>
  <c r="V505" i="6" s="1"/>
  <c r="V506" i="6" s="1"/>
  <c r="V507" i="6" s="1"/>
  <c r="V508" i="6" s="1"/>
  <c r="V509" i="6" s="1"/>
  <c r="V510" i="6" s="1"/>
  <c r="D512" i="6" s="1"/>
  <c r="D513" i="6" s="1"/>
  <c r="D514" i="6" s="1"/>
  <c r="D515" i="6" s="1"/>
  <c r="D516" i="6" s="1"/>
  <c r="D517" i="6" s="1"/>
  <c r="D518" i="6" s="1"/>
  <c r="D519" i="6" s="1"/>
  <c r="D520" i="6" s="1"/>
  <c r="D521" i="6" s="1"/>
  <c r="D522" i="6" s="1"/>
  <c r="G512" i="6" s="1"/>
  <c r="G513" i="6" s="1"/>
  <c r="G514" i="6" s="1"/>
  <c r="G515" i="6" s="1"/>
  <c r="G516" i="6" s="1"/>
  <c r="G517" i="6" s="1"/>
  <c r="G518" i="6" s="1"/>
  <c r="G519" i="6" s="1"/>
  <c r="G520" i="6" s="1"/>
  <c r="G521" i="6" s="1"/>
  <c r="G522" i="6" s="1"/>
  <c r="J512" i="6" s="1"/>
  <c r="J513" i="6" s="1"/>
  <c r="J514" i="6" s="1"/>
  <c r="J515" i="6" s="1"/>
  <c r="J516" i="6" s="1"/>
  <c r="J517" i="6" s="1"/>
  <c r="J518" i="6" s="1"/>
  <c r="J519" i="6" s="1"/>
  <c r="J520" i="6" s="1"/>
  <c r="J521" i="6" s="1"/>
  <c r="J522" i="6" s="1"/>
  <c r="M512" i="6" s="1"/>
  <c r="M513" i="6" s="1"/>
  <c r="M514" i="6" s="1"/>
  <c r="M515" i="6" s="1"/>
  <c r="M516" i="6" s="1"/>
  <c r="M517" i="6" s="1"/>
  <c r="M518" i="6" s="1"/>
  <c r="M519" i="6" s="1"/>
  <c r="M520" i="6" s="1"/>
  <c r="M521" i="6" s="1"/>
  <c r="M522" i="6" s="1"/>
  <c r="P512" i="6" s="1"/>
  <c r="P513" i="6" s="1"/>
  <c r="P514" i="6" s="1"/>
  <c r="P515" i="6" s="1"/>
  <c r="P516" i="6" s="1"/>
  <c r="P517" i="6" s="1"/>
  <c r="P518" i="6" s="1"/>
  <c r="P519" i="6" s="1"/>
  <c r="P520" i="6" s="1"/>
  <c r="P521" i="6" s="1"/>
  <c r="P522" i="6" s="1"/>
  <c r="S512" i="6" s="1"/>
  <c r="S513" i="6" s="1"/>
  <c r="S514" i="6" s="1"/>
  <c r="S515" i="6" s="1"/>
  <c r="S516" i="6" s="1"/>
  <c r="S517" i="6" s="1"/>
  <c r="S518" i="6" s="1"/>
  <c r="S519" i="6" s="1"/>
  <c r="S520" i="6" s="1"/>
  <c r="S521" i="6" s="1"/>
  <c r="S522" i="6" s="1"/>
  <c r="V512" i="6" s="1"/>
  <c r="V513" i="6" s="1"/>
  <c r="V514" i="6" s="1"/>
  <c r="V515" i="6" s="1"/>
  <c r="V516" i="6" s="1"/>
  <c r="V517" i="6" s="1"/>
  <c r="V518" i="6" s="1"/>
  <c r="V519" i="6" s="1"/>
  <c r="V520" i="6" s="1"/>
  <c r="V521" i="6" s="1"/>
  <c r="V522" i="6" s="1"/>
  <c r="D524" i="6" s="1"/>
  <c r="D525" i="6" s="1"/>
  <c r="D526" i="6" s="1"/>
  <c r="D527" i="6" s="1"/>
  <c r="D528" i="6" s="1"/>
  <c r="D529" i="6" s="1"/>
  <c r="D530" i="6" s="1"/>
  <c r="D531" i="6" s="1"/>
  <c r="D532" i="6" s="1"/>
  <c r="D533" i="6" s="1"/>
  <c r="D534" i="6" s="1"/>
  <c r="G524" i="6" s="1"/>
  <c r="G525" i="6" s="1"/>
  <c r="G526" i="6" s="1"/>
  <c r="G527" i="6" s="1"/>
  <c r="G528" i="6" s="1"/>
  <c r="G529" i="6" s="1"/>
  <c r="G530" i="6" s="1"/>
  <c r="G531" i="6" s="1"/>
  <c r="G532" i="6" s="1"/>
  <c r="G533" i="6" s="1"/>
  <c r="G534" i="6" s="1"/>
  <c r="J524" i="6" s="1"/>
  <c r="J525" i="6" s="1"/>
  <c r="J526" i="6" s="1"/>
  <c r="J527" i="6" s="1"/>
  <c r="J528" i="6" s="1"/>
  <c r="J529" i="6" s="1"/>
  <c r="J530" i="6" s="1"/>
  <c r="J531" i="6" s="1"/>
  <c r="J532" i="6" s="1"/>
  <c r="J533" i="6" s="1"/>
  <c r="J534" i="6" s="1"/>
  <c r="M524" i="6" s="1"/>
  <c r="M525" i="6" s="1"/>
  <c r="M526" i="6" s="1"/>
  <c r="M527" i="6" s="1"/>
  <c r="M528" i="6" s="1"/>
  <c r="M529" i="6" s="1"/>
  <c r="M530" i="6" s="1"/>
  <c r="M531" i="6" s="1"/>
  <c r="M532" i="6" s="1"/>
  <c r="M533" i="6" s="1"/>
  <c r="M534" i="6" s="1"/>
  <c r="P524" i="6" s="1"/>
  <c r="P525" i="6" s="1"/>
  <c r="P526" i="6" s="1"/>
  <c r="P527" i="6" s="1"/>
  <c r="P528" i="6" s="1"/>
  <c r="P529" i="6" s="1"/>
  <c r="P530" i="6" s="1"/>
  <c r="P531" i="6" s="1"/>
  <c r="P532" i="6" s="1"/>
  <c r="P533" i="6" s="1"/>
  <c r="P534" i="6" s="1"/>
  <c r="S524" i="6" s="1"/>
  <c r="S525" i="6" s="1"/>
  <c r="S526" i="6" s="1"/>
  <c r="S527" i="6" s="1"/>
  <c r="S528" i="6" s="1"/>
  <c r="S529" i="6" s="1"/>
  <c r="S530" i="6" s="1"/>
  <c r="S531" i="6" s="1"/>
  <c r="S532" i="6" s="1"/>
  <c r="S533" i="6" s="1"/>
  <c r="S534" i="6" s="1"/>
  <c r="V524" i="6" s="1"/>
  <c r="V525" i="6" s="1"/>
  <c r="V526" i="6" s="1"/>
  <c r="V527" i="6" s="1"/>
  <c r="V528" i="6" s="1"/>
  <c r="V529" i="6" s="1"/>
  <c r="V530" i="6" s="1"/>
  <c r="V531" i="6" s="1"/>
  <c r="V532" i="6" s="1"/>
  <c r="V533" i="6" s="1"/>
  <c r="V534" i="6" s="1"/>
  <c r="D536" i="6" s="1"/>
  <c r="D537" i="6" s="1"/>
  <c r="D538" i="6" s="1"/>
  <c r="D539" i="6" s="1"/>
  <c r="D540" i="6" s="1"/>
  <c r="D541" i="6" s="1"/>
  <c r="D542" i="6" s="1"/>
  <c r="D543" i="6" s="1"/>
  <c r="D544" i="6" s="1"/>
  <c r="D545" i="6" s="1"/>
  <c r="D546" i="6" s="1"/>
  <c r="G536" i="6" s="1"/>
  <c r="G537" i="6" s="1"/>
  <c r="G538" i="6" s="1"/>
  <c r="G539" i="6" s="1"/>
  <c r="G540" i="6" s="1"/>
  <c r="G541" i="6" s="1"/>
  <c r="G542" i="6" s="1"/>
  <c r="G543" i="6" s="1"/>
  <c r="G544" i="6" s="1"/>
  <c r="G545" i="6" s="1"/>
  <c r="G546" i="6" s="1"/>
  <c r="J536" i="6" s="1"/>
  <c r="J537" i="6" s="1"/>
  <c r="J538" i="6" s="1"/>
  <c r="J539" i="6" s="1"/>
  <c r="J540" i="6" s="1"/>
  <c r="J541" i="6" s="1"/>
  <c r="J542" i="6" s="1"/>
  <c r="J543" i="6" s="1"/>
  <c r="J544" i="6" s="1"/>
  <c r="J545" i="6" s="1"/>
  <c r="J546" i="6" s="1"/>
  <c r="M536" i="6" s="1"/>
  <c r="M537" i="6" s="1"/>
  <c r="M538" i="6" s="1"/>
  <c r="M539" i="6" s="1"/>
  <c r="M540" i="6" s="1"/>
  <c r="M541" i="6" s="1"/>
  <c r="M542" i="6" s="1"/>
  <c r="M543" i="6" s="1"/>
  <c r="M544" i="6" s="1"/>
  <c r="M545" i="6" s="1"/>
  <c r="M546" i="6" s="1"/>
  <c r="P536" i="6" s="1"/>
  <c r="P537" i="6" s="1"/>
  <c r="P538" i="6" s="1"/>
  <c r="P539" i="6" s="1"/>
  <c r="P540" i="6" s="1"/>
  <c r="P541" i="6" s="1"/>
  <c r="P542" i="6" s="1"/>
  <c r="P543" i="6" s="1"/>
  <c r="P544" i="6" s="1"/>
  <c r="P545" i="6" s="1"/>
  <c r="P546" i="6" s="1"/>
  <c r="S536" i="6" s="1"/>
  <c r="S537" i="6" s="1"/>
  <c r="S538" i="6" s="1"/>
  <c r="S539" i="6" s="1"/>
  <c r="S540" i="6" s="1"/>
  <c r="S541" i="6" s="1"/>
  <c r="S542" i="6" s="1"/>
  <c r="S543" i="6" s="1"/>
  <c r="S544" i="6" s="1"/>
  <c r="S545" i="6" s="1"/>
  <c r="S546" i="6" s="1"/>
  <c r="V536" i="6" s="1"/>
  <c r="V537" i="6" s="1"/>
  <c r="V538" i="6" s="1"/>
  <c r="V539" i="6" s="1"/>
  <c r="V540" i="6" s="1"/>
  <c r="V541" i="6" s="1"/>
  <c r="V542" i="6" s="1"/>
  <c r="V543" i="6" s="1"/>
  <c r="V544" i="6" s="1"/>
  <c r="V545" i="6" s="1"/>
  <c r="V546" i="6" s="1"/>
  <c r="D548" i="6" s="1"/>
  <c r="D549" i="6" s="1"/>
  <c r="D550" i="6" s="1"/>
  <c r="D551" i="6" s="1"/>
  <c r="D552" i="6" s="1"/>
  <c r="D553" i="6" s="1"/>
  <c r="D554" i="6" s="1"/>
  <c r="D555" i="6" s="1"/>
  <c r="D556" i="6" s="1"/>
  <c r="D557" i="6" s="1"/>
  <c r="D558" i="6" s="1"/>
  <c r="G548" i="6" s="1"/>
  <c r="G549" i="6" s="1"/>
  <c r="G550" i="6" s="1"/>
  <c r="G551" i="6" s="1"/>
  <c r="G552" i="6" s="1"/>
  <c r="G553" i="6" s="1"/>
  <c r="G554" i="6" s="1"/>
  <c r="G555" i="6" s="1"/>
  <c r="G556" i="6" s="1"/>
  <c r="G557" i="6" s="1"/>
  <c r="G558" i="6" s="1"/>
  <c r="J548" i="6" s="1"/>
  <c r="J549" i="6" s="1"/>
  <c r="J550" i="6" s="1"/>
  <c r="J551" i="6" s="1"/>
  <c r="J552" i="6" s="1"/>
  <c r="J553" i="6" s="1"/>
  <c r="J554" i="6" s="1"/>
  <c r="J555" i="6" s="1"/>
  <c r="J556" i="6" s="1"/>
  <c r="J557" i="6" s="1"/>
  <c r="J558" i="6" s="1"/>
  <c r="M548" i="6" s="1"/>
  <c r="M549" i="6" s="1"/>
  <c r="M550" i="6" s="1"/>
  <c r="M551" i="6" s="1"/>
  <c r="M552" i="6" s="1"/>
  <c r="M553" i="6" s="1"/>
  <c r="M554" i="6" s="1"/>
  <c r="M555" i="6" s="1"/>
  <c r="M556" i="6" s="1"/>
  <c r="M557" i="6" s="1"/>
  <c r="M558" i="6" s="1"/>
  <c r="P548" i="6" s="1"/>
  <c r="P549" i="6" s="1"/>
  <c r="P550" i="6" s="1"/>
  <c r="P551" i="6" s="1"/>
  <c r="P552" i="6" s="1"/>
  <c r="P553" i="6" s="1"/>
  <c r="P554" i="6" s="1"/>
  <c r="P555" i="6" s="1"/>
  <c r="P556" i="6" s="1"/>
  <c r="P557" i="6" s="1"/>
  <c r="P558" i="6" s="1"/>
  <c r="S548" i="6" s="1"/>
  <c r="S549" i="6" s="1"/>
  <c r="S550" i="6" s="1"/>
  <c r="S551" i="6" s="1"/>
  <c r="S552" i="6" s="1"/>
  <c r="S553" i="6" s="1"/>
  <c r="S554" i="6" s="1"/>
  <c r="S555" i="6" s="1"/>
  <c r="S556" i="6" s="1"/>
  <c r="S557" i="6" s="1"/>
  <c r="S558" i="6" s="1"/>
  <c r="V548" i="6" s="1"/>
  <c r="V549" i="6" s="1"/>
  <c r="V550" i="6" s="1"/>
  <c r="V551" i="6" s="1"/>
  <c r="V552" i="6" s="1"/>
  <c r="V553" i="6" s="1"/>
  <c r="V554" i="6" s="1"/>
  <c r="V555" i="6" s="1"/>
  <c r="V556" i="6" s="1"/>
  <c r="V557" i="6" s="1"/>
  <c r="V558" i="6" s="1"/>
  <c r="D560" i="6" s="1"/>
  <c r="D561" i="6" s="1"/>
  <c r="D562" i="6" s="1"/>
  <c r="D563" i="6" s="1"/>
  <c r="D564" i="6" s="1"/>
  <c r="D565" i="6" s="1"/>
  <c r="D566" i="6" s="1"/>
  <c r="D567" i="6" s="1"/>
  <c r="D568" i="6" s="1"/>
  <c r="D569" i="6" s="1"/>
  <c r="D570" i="6" s="1"/>
  <c r="G560" i="6" s="1"/>
  <c r="G561" i="6" s="1"/>
  <c r="G562" i="6" s="1"/>
  <c r="G563" i="6" s="1"/>
  <c r="G564" i="6" s="1"/>
  <c r="G565" i="6" s="1"/>
  <c r="G566" i="6" s="1"/>
  <c r="G567" i="6" s="1"/>
  <c r="G568" i="6" s="1"/>
  <c r="G569" i="6" s="1"/>
  <c r="G570" i="6" s="1"/>
  <c r="J560" i="6" s="1"/>
  <c r="J561" i="6" s="1"/>
  <c r="J562" i="6" s="1"/>
  <c r="J563" i="6" s="1"/>
  <c r="J564" i="6" s="1"/>
  <c r="J565" i="6" s="1"/>
  <c r="J566" i="6" s="1"/>
  <c r="J567" i="6" s="1"/>
  <c r="J568" i="6" s="1"/>
  <c r="J569" i="6" s="1"/>
  <c r="J570" i="6" s="1"/>
  <c r="M560" i="6" s="1"/>
  <c r="M561" i="6" s="1"/>
  <c r="M562" i="6" s="1"/>
  <c r="M563" i="6" s="1"/>
  <c r="M564" i="6" s="1"/>
  <c r="M565" i="6" s="1"/>
  <c r="M566" i="6" s="1"/>
  <c r="M567" i="6" s="1"/>
  <c r="M568" i="6" s="1"/>
  <c r="M569" i="6" s="1"/>
  <c r="M570" i="6" s="1"/>
  <c r="P560" i="6" s="1"/>
  <c r="P561" i="6" s="1"/>
  <c r="P562" i="6" s="1"/>
  <c r="P563" i="6" s="1"/>
  <c r="P564" i="6" s="1"/>
  <c r="P565" i="6" s="1"/>
  <c r="P566" i="6" s="1"/>
  <c r="P567" i="6" s="1"/>
  <c r="P568" i="6" s="1"/>
  <c r="P569" i="6" s="1"/>
  <c r="P570" i="6" s="1"/>
  <c r="S560" i="6" s="1"/>
  <c r="S561" i="6" s="1"/>
  <c r="S562" i="6" s="1"/>
  <c r="S563" i="6" s="1"/>
  <c r="S564" i="6" s="1"/>
  <c r="S565" i="6" s="1"/>
  <c r="S566" i="6" s="1"/>
  <c r="S567" i="6" s="1"/>
  <c r="S568" i="6" s="1"/>
  <c r="S569" i="6" s="1"/>
  <c r="S570" i="6" s="1"/>
  <c r="V560" i="6" s="1"/>
  <c r="V561" i="6" s="1"/>
  <c r="V562" i="6" s="1"/>
  <c r="V563" i="6" s="1"/>
  <c r="V564" i="6" s="1"/>
  <c r="V565" i="6" s="1"/>
  <c r="V566" i="6" s="1"/>
  <c r="V567" i="6" s="1"/>
  <c r="V568" i="6" s="1"/>
  <c r="V569" i="6" s="1"/>
  <c r="V570" i="6" s="1"/>
  <c r="D572" i="6" s="1"/>
  <c r="D573" i="6" s="1"/>
  <c r="D574" i="6" s="1"/>
  <c r="D575" i="6" s="1"/>
  <c r="D576" i="6" s="1"/>
  <c r="D577" i="6" s="1"/>
  <c r="D578" i="6" s="1"/>
  <c r="D579" i="6" s="1"/>
  <c r="D580" i="6" s="1"/>
  <c r="D581" i="6" s="1"/>
  <c r="D582" i="6" s="1"/>
  <c r="G572" i="6" s="1"/>
  <c r="G573" i="6" s="1"/>
  <c r="G574" i="6" s="1"/>
  <c r="G575" i="6" s="1"/>
  <c r="G576" i="6" s="1"/>
  <c r="G577" i="6" s="1"/>
  <c r="G578" i="6" s="1"/>
  <c r="G579" i="6" s="1"/>
  <c r="G580" i="6" s="1"/>
  <c r="G581" i="6" s="1"/>
  <c r="G582" i="6" s="1"/>
  <c r="J572" i="6" s="1"/>
  <c r="J573" i="6" s="1"/>
  <c r="J574" i="6" s="1"/>
  <c r="J575" i="6" s="1"/>
  <c r="J576" i="6" s="1"/>
  <c r="J577" i="6" s="1"/>
  <c r="J578" i="6" s="1"/>
  <c r="J579" i="6" s="1"/>
  <c r="J580" i="6" s="1"/>
  <c r="J581" i="6" s="1"/>
  <c r="J582" i="6" s="1"/>
  <c r="M572" i="6" s="1"/>
  <c r="M573" i="6" s="1"/>
  <c r="M574" i="6" s="1"/>
  <c r="M575" i="6" s="1"/>
  <c r="M576" i="6" s="1"/>
  <c r="M577" i="6" s="1"/>
  <c r="M578" i="6" s="1"/>
  <c r="M579" i="6" s="1"/>
  <c r="M580" i="6" s="1"/>
  <c r="M581" i="6" s="1"/>
  <c r="M582" i="6" s="1"/>
  <c r="P572" i="6" s="1"/>
  <c r="P573" i="6" s="1"/>
  <c r="P574" i="6" s="1"/>
  <c r="P575" i="6" s="1"/>
  <c r="P576" i="6" s="1"/>
  <c r="P577" i="6" s="1"/>
  <c r="P578" i="6" s="1"/>
  <c r="P579" i="6" s="1"/>
  <c r="P580" i="6" s="1"/>
  <c r="P581" i="6" s="1"/>
  <c r="P582" i="6" s="1"/>
  <c r="S572" i="6" s="1"/>
  <c r="S573" i="6" s="1"/>
  <c r="S574" i="6" s="1"/>
  <c r="S575" i="6" s="1"/>
  <c r="S576" i="6" s="1"/>
  <c r="S577" i="6" s="1"/>
  <c r="S578" i="6" s="1"/>
  <c r="S579" i="6" s="1"/>
  <c r="S580" i="6" s="1"/>
  <c r="S581" i="6" s="1"/>
  <c r="S582" i="6" s="1"/>
  <c r="V572" i="6" s="1"/>
  <c r="V573" i="6" s="1"/>
  <c r="V574" i="6" s="1"/>
  <c r="V575" i="6" s="1"/>
  <c r="V576" i="6" s="1"/>
  <c r="V577" i="6" s="1"/>
  <c r="V578" i="6" s="1"/>
  <c r="V579" i="6" s="1"/>
  <c r="V580" i="6" s="1"/>
  <c r="V581" i="6" s="1"/>
  <c r="V582" i="6" s="1"/>
  <c r="D584" i="6" s="1"/>
  <c r="D585" i="6" s="1"/>
  <c r="D586" i="6" s="1"/>
  <c r="D587" i="6" s="1"/>
  <c r="D588" i="6" s="1"/>
  <c r="D589" i="6" s="1"/>
  <c r="D590" i="6" s="1"/>
  <c r="D591" i="6" s="1"/>
  <c r="D592" i="6" s="1"/>
  <c r="D593" i="6" s="1"/>
  <c r="D594" i="6" s="1"/>
  <c r="G584" i="6" s="1"/>
  <c r="G585" i="6" s="1"/>
  <c r="G586" i="6" s="1"/>
  <c r="G587" i="6" s="1"/>
  <c r="G588" i="6" s="1"/>
  <c r="G589" i="6" s="1"/>
  <c r="G590" i="6" s="1"/>
  <c r="G591" i="6" s="1"/>
  <c r="G592" i="6" s="1"/>
  <c r="G593" i="6" s="1"/>
  <c r="G594" i="6" s="1"/>
  <c r="J584" i="6" s="1"/>
  <c r="J585" i="6" s="1"/>
  <c r="J586" i="6" s="1"/>
  <c r="J587" i="6" s="1"/>
  <c r="J588" i="6" s="1"/>
  <c r="J589" i="6" s="1"/>
  <c r="J590" i="6" s="1"/>
  <c r="J591" i="6" s="1"/>
  <c r="J592" i="6" s="1"/>
  <c r="J593" i="6" s="1"/>
  <c r="J594" i="6" s="1"/>
  <c r="M584" i="6" s="1"/>
  <c r="M585" i="6" s="1"/>
  <c r="M586" i="6" s="1"/>
  <c r="M587" i="6" s="1"/>
  <c r="M588" i="6" s="1"/>
  <c r="M589" i="6" s="1"/>
  <c r="M590" i="6" s="1"/>
  <c r="M591" i="6" s="1"/>
  <c r="M592" i="6" s="1"/>
  <c r="M593" i="6" s="1"/>
  <c r="M594" i="6" s="1"/>
  <c r="P584" i="6" s="1"/>
  <c r="P585" i="6" s="1"/>
  <c r="P586" i="6" s="1"/>
  <c r="P587" i="6" s="1"/>
  <c r="P588" i="6" s="1"/>
  <c r="P589" i="6" s="1"/>
  <c r="P590" i="6" s="1"/>
  <c r="P591" i="6" s="1"/>
  <c r="P592" i="6" s="1"/>
  <c r="P593" i="6" s="1"/>
  <c r="P594" i="6" s="1"/>
  <c r="S584" i="6" s="1"/>
  <c r="S585" i="6" s="1"/>
  <c r="S586" i="6" s="1"/>
  <c r="S587" i="6" s="1"/>
  <c r="S588" i="6" s="1"/>
  <c r="S589" i="6" s="1"/>
  <c r="S590" i="6" s="1"/>
  <c r="S591" i="6" s="1"/>
  <c r="S592" i="6" s="1"/>
  <c r="S593" i="6" s="1"/>
  <c r="S594" i="6" s="1"/>
  <c r="V584" i="6" s="1"/>
  <c r="V585" i="6" s="1"/>
  <c r="V586" i="6" s="1"/>
  <c r="V587" i="6" s="1"/>
  <c r="V588" i="6" s="1"/>
  <c r="V589" i="6" s="1"/>
  <c r="V590" i="6" s="1"/>
  <c r="V591" i="6" s="1"/>
  <c r="V592" i="6" s="1"/>
  <c r="V593" i="6" s="1"/>
  <c r="V594" i="6" s="1"/>
  <c r="D596" i="6" s="1"/>
  <c r="D597" i="6" s="1"/>
  <c r="D598" i="6" s="1"/>
  <c r="D599" i="6" s="1"/>
  <c r="D600" i="6" s="1"/>
  <c r="D601" i="6" s="1"/>
  <c r="D602" i="6" s="1"/>
  <c r="D603" i="6" s="1"/>
  <c r="D604" i="6" s="1"/>
  <c r="D605" i="6" s="1"/>
  <c r="D606" i="6" s="1"/>
  <c r="G596" i="6" s="1"/>
  <c r="G597" i="6" s="1"/>
  <c r="G598" i="6" s="1"/>
  <c r="G599" i="6" s="1"/>
  <c r="G600" i="6" s="1"/>
  <c r="G601" i="6" s="1"/>
  <c r="G602" i="6" s="1"/>
  <c r="G603" i="6" s="1"/>
  <c r="G604" i="6" s="1"/>
  <c r="G605" i="6" s="1"/>
  <c r="G606" i="6" s="1"/>
  <c r="J596" i="6" s="1"/>
  <c r="J597" i="6" s="1"/>
  <c r="J598" i="6" s="1"/>
  <c r="J599" i="6" s="1"/>
  <c r="J600" i="6" s="1"/>
  <c r="J601" i="6" s="1"/>
  <c r="J602" i="6" s="1"/>
  <c r="J603" i="6" s="1"/>
  <c r="J604" i="6" s="1"/>
  <c r="J605" i="6" s="1"/>
  <c r="J606" i="6" s="1"/>
  <c r="M596" i="6" s="1"/>
  <c r="M597" i="6" s="1"/>
  <c r="M598" i="6" s="1"/>
  <c r="M599" i="6" s="1"/>
  <c r="M600" i="6" s="1"/>
  <c r="M601" i="6" s="1"/>
  <c r="M602" i="6" s="1"/>
  <c r="M603" i="6" s="1"/>
  <c r="M604" i="6" s="1"/>
  <c r="M605" i="6" s="1"/>
  <c r="M606" i="6" s="1"/>
  <c r="P596" i="6" s="1"/>
  <c r="P597" i="6" s="1"/>
  <c r="P598" i="6" s="1"/>
  <c r="P599" i="6" s="1"/>
  <c r="P600" i="6" s="1"/>
  <c r="P601" i="6" s="1"/>
  <c r="P602" i="6" s="1"/>
  <c r="P603" i="6" s="1"/>
  <c r="P604" i="6" s="1"/>
  <c r="P605" i="6" s="1"/>
  <c r="P606" i="6" s="1"/>
  <c r="S596" i="6" s="1"/>
  <c r="S597" i="6" s="1"/>
  <c r="S598" i="6" s="1"/>
  <c r="S599" i="6" s="1"/>
  <c r="S600" i="6" s="1"/>
  <c r="S601" i="6" s="1"/>
  <c r="S602" i="6" s="1"/>
  <c r="S603" i="6" s="1"/>
  <c r="S604" i="6" s="1"/>
  <c r="S605" i="6" s="1"/>
  <c r="S606" i="6" s="1"/>
  <c r="V596" i="6" s="1"/>
  <c r="V597" i="6" s="1"/>
  <c r="V598" i="6" s="1"/>
  <c r="V599" i="6" s="1"/>
  <c r="V600" i="6" s="1"/>
  <c r="V601" i="6" s="1"/>
  <c r="V602" i="6" s="1"/>
  <c r="V603" i="6" s="1"/>
  <c r="V604" i="6" s="1"/>
  <c r="V605" i="6" s="1"/>
  <c r="V606" i="6" s="1"/>
  <c r="D608" i="6" s="1"/>
  <c r="D609" i="6" s="1"/>
  <c r="D610" i="6" s="1"/>
  <c r="D611" i="6" s="1"/>
  <c r="D612" i="6" s="1"/>
  <c r="D613" i="6" s="1"/>
  <c r="D614" i="6" s="1"/>
  <c r="D615" i="6" s="1"/>
  <c r="D616" i="6" s="1"/>
  <c r="D617" i="6" s="1"/>
  <c r="D618" i="6" s="1"/>
  <c r="G608" i="6" s="1"/>
  <c r="G609" i="6" s="1"/>
  <c r="G610" i="6" s="1"/>
  <c r="G611" i="6" s="1"/>
  <c r="G612" i="6" s="1"/>
  <c r="G613" i="6" s="1"/>
  <c r="G614" i="6" s="1"/>
  <c r="G615" i="6" s="1"/>
  <c r="G616" i="6" s="1"/>
  <c r="G617" i="6" s="1"/>
  <c r="G618" i="6" s="1"/>
  <c r="J608" i="6" s="1"/>
  <c r="J609" i="6" s="1"/>
  <c r="J610" i="6" s="1"/>
  <c r="J611" i="6" s="1"/>
  <c r="J612" i="6" s="1"/>
  <c r="J613" i="6" s="1"/>
  <c r="J614" i="6" s="1"/>
  <c r="J615" i="6" s="1"/>
  <c r="J616" i="6" s="1"/>
  <c r="J617" i="6" s="1"/>
  <c r="J618" i="6" s="1"/>
  <c r="M608" i="6" s="1"/>
  <c r="M609" i="6" s="1"/>
  <c r="M610" i="6" s="1"/>
  <c r="M611" i="6" s="1"/>
  <c r="M612" i="6" s="1"/>
  <c r="M613" i="6" s="1"/>
  <c r="M614" i="6" s="1"/>
  <c r="M615" i="6" s="1"/>
  <c r="M616" i="6" s="1"/>
  <c r="M617" i="6" s="1"/>
  <c r="M618" i="6" s="1"/>
  <c r="P608" i="6" s="1"/>
  <c r="P609" i="6" s="1"/>
  <c r="P610" i="6" s="1"/>
  <c r="P611" i="6" s="1"/>
  <c r="P612" i="6" s="1"/>
  <c r="P613" i="6" s="1"/>
  <c r="P614" i="6" s="1"/>
  <c r="P615" i="6" s="1"/>
  <c r="P616" i="6" s="1"/>
  <c r="P617" i="6" s="1"/>
  <c r="P618" i="6" s="1"/>
  <c r="S608" i="6" s="1"/>
  <c r="S609" i="6" s="1"/>
  <c r="S610" i="6" s="1"/>
  <c r="S611" i="6" s="1"/>
  <c r="S612" i="6" s="1"/>
  <c r="S613" i="6" s="1"/>
  <c r="S614" i="6" s="1"/>
  <c r="S615" i="6" s="1"/>
  <c r="S616" i="6" s="1"/>
  <c r="S617" i="6" s="1"/>
  <c r="S618" i="6" s="1"/>
  <c r="V608" i="6" s="1"/>
  <c r="V609" i="6" s="1"/>
  <c r="V610" i="6" s="1"/>
  <c r="V611" i="6" s="1"/>
  <c r="V612" i="6" s="1"/>
  <c r="V613" i="6" s="1"/>
  <c r="V614" i="6" s="1"/>
  <c r="V615" i="6" s="1"/>
  <c r="V616" i="6" s="1"/>
  <c r="V617" i="6" s="1"/>
  <c r="V618" i="6" s="1"/>
  <c r="D620" i="6" s="1"/>
  <c r="D621" i="6" s="1"/>
  <c r="D622" i="6" s="1"/>
  <c r="D623" i="6" s="1"/>
  <c r="D624" i="6" s="1"/>
  <c r="D625" i="6" s="1"/>
  <c r="D626" i="6" s="1"/>
  <c r="D627" i="6" s="1"/>
  <c r="D628" i="6" s="1"/>
  <c r="D629" i="6" s="1"/>
  <c r="D630" i="6" s="1"/>
  <c r="G620" i="6" s="1"/>
  <c r="G621" i="6" s="1"/>
  <c r="G622" i="6" s="1"/>
  <c r="G623" i="6" s="1"/>
  <c r="G624" i="6" s="1"/>
  <c r="G625" i="6" s="1"/>
  <c r="G626" i="6" s="1"/>
  <c r="G627" i="6" s="1"/>
  <c r="G628" i="6" s="1"/>
  <c r="G629" i="6" s="1"/>
  <c r="G630" i="6" s="1"/>
  <c r="J620" i="6" s="1"/>
  <c r="J621" i="6" s="1"/>
  <c r="J622" i="6" s="1"/>
  <c r="J623" i="6" s="1"/>
  <c r="J624" i="6" s="1"/>
  <c r="J625" i="6" s="1"/>
  <c r="J626" i="6" s="1"/>
  <c r="J627" i="6" s="1"/>
  <c r="J628" i="6" s="1"/>
  <c r="J629" i="6" s="1"/>
  <c r="J630" i="6" s="1"/>
  <c r="M620" i="6" s="1"/>
  <c r="M621" i="6" s="1"/>
  <c r="M622" i="6" s="1"/>
  <c r="M623" i="6" s="1"/>
  <c r="M624" i="6" s="1"/>
  <c r="M625" i="6" s="1"/>
  <c r="M626" i="6" s="1"/>
  <c r="M627" i="6" s="1"/>
  <c r="M628" i="6" s="1"/>
  <c r="M629" i="6" s="1"/>
  <c r="M630" i="6" s="1"/>
  <c r="P620" i="6" s="1"/>
  <c r="P621" i="6" s="1"/>
  <c r="P622" i="6" s="1"/>
  <c r="P623" i="6" s="1"/>
  <c r="P624" i="6" s="1"/>
  <c r="P625" i="6" s="1"/>
  <c r="P626" i="6" s="1"/>
  <c r="P627" i="6" s="1"/>
  <c r="P628" i="6" s="1"/>
  <c r="P629" i="6" s="1"/>
  <c r="P630" i="6" s="1"/>
  <c r="S620" i="6" s="1"/>
  <c r="S621" i="6" s="1"/>
  <c r="S622" i="6" s="1"/>
  <c r="S623" i="6" s="1"/>
  <c r="S624" i="6" s="1"/>
  <c r="S625" i="6" s="1"/>
  <c r="S626" i="6" s="1"/>
  <c r="S627" i="6" s="1"/>
  <c r="S628" i="6" s="1"/>
  <c r="S629" i="6" s="1"/>
  <c r="S630" i="6" s="1"/>
  <c r="V620" i="6" s="1"/>
  <c r="V621" i="6" s="1"/>
  <c r="V622" i="6" s="1"/>
  <c r="V623" i="6" s="1"/>
  <c r="V624" i="6" s="1"/>
  <c r="V625" i="6" s="1"/>
  <c r="V626" i="6" s="1"/>
  <c r="V627" i="6" s="1"/>
  <c r="V628" i="6" s="1"/>
  <c r="V629" i="6" s="1"/>
  <c r="V630" i="6" s="1"/>
  <c r="D632" i="6" s="1"/>
  <c r="D633" i="6" s="1"/>
  <c r="D634" i="6" s="1"/>
  <c r="D635" i="6" s="1"/>
  <c r="D636" i="6" s="1"/>
  <c r="D637" i="6" s="1"/>
  <c r="D638" i="6" s="1"/>
  <c r="D639" i="6" s="1"/>
  <c r="D640" i="6" s="1"/>
  <c r="D641" i="6" s="1"/>
  <c r="D642" i="6" s="1"/>
  <c r="G632" i="6" s="1"/>
  <c r="G633" i="6" s="1"/>
  <c r="G634" i="6" s="1"/>
  <c r="G635" i="6" s="1"/>
  <c r="G636" i="6" s="1"/>
  <c r="G637" i="6" s="1"/>
  <c r="G638" i="6" s="1"/>
  <c r="G639" i="6" s="1"/>
  <c r="G640" i="6" s="1"/>
  <c r="G641" i="6" s="1"/>
  <c r="G642" i="6" s="1"/>
  <c r="J632" i="6" s="1"/>
  <c r="J633" i="6" s="1"/>
  <c r="J634" i="6" s="1"/>
  <c r="J635" i="6" s="1"/>
  <c r="J636" i="6" s="1"/>
  <c r="J637" i="6" s="1"/>
  <c r="J638" i="6" s="1"/>
  <c r="J639" i="6" s="1"/>
  <c r="J640" i="6" s="1"/>
  <c r="J641" i="6" s="1"/>
  <c r="J642" i="6" s="1"/>
  <c r="M632" i="6" s="1"/>
  <c r="M633" i="6" s="1"/>
  <c r="M634" i="6" s="1"/>
  <c r="M635" i="6" s="1"/>
  <c r="M636" i="6" s="1"/>
  <c r="M637" i="6" s="1"/>
  <c r="M638" i="6" s="1"/>
  <c r="M639" i="6" s="1"/>
  <c r="M640" i="6" s="1"/>
  <c r="M641" i="6" s="1"/>
  <c r="M642" i="6" s="1"/>
  <c r="P632" i="6" s="1"/>
  <c r="P633" i="6" s="1"/>
  <c r="P634" i="6" s="1"/>
  <c r="P635" i="6" s="1"/>
  <c r="P636" i="6" s="1"/>
  <c r="P637" i="6" s="1"/>
  <c r="P638" i="6" s="1"/>
  <c r="P639" i="6" s="1"/>
  <c r="P640" i="6" s="1"/>
  <c r="P641" i="6" s="1"/>
  <c r="P642" i="6" s="1"/>
  <c r="S632" i="6" s="1"/>
  <c r="S633" i="6" s="1"/>
  <c r="S634" i="6" s="1"/>
  <c r="S635" i="6" s="1"/>
  <c r="S636" i="6" s="1"/>
  <c r="S637" i="6" s="1"/>
  <c r="S638" i="6" s="1"/>
  <c r="S639" i="6" s="1"/>
  <c r="S640" i="6" s="1"/>
  <c r="S641" i="6" s="1"/>
  <c r="S642" i="6" s="1"/>
  <c r="V632" i="6" s="1"/>
  <c r="V633" i="6" s="1"/>
  <c r="V634" i="6" s="1"/>
  <c r="V635" i="6" s="1"/>
  <c r="V636" i="6" s="1"/>
  <c r="V637" i="6" s="1"/>
  <c r="V638" i="6" s="1"/>
  <c r="V639" i="6" s="1"/>
  <c r="V640" i="6" s="1"/>
  <c r="V641" i="6" s="1"/>
  <c r="V642" i="6" s="1"/>
  <c r="T487" i="6"/>
  <c r="Q487" i="6"/>
  <c r="N487" i="6"/>
  <c r="K487" i="6"/>
  <c r="H487" i="6"/>
  <c r="E487" i="6"/>
  <c r="B487" i="6"/>
  <c r="T475" i="6"/>
  <c r="Q475" i="6"/>
  <c r="N475" i="6"/>
  <c r="K475" i="6"/>
  <c r="H475" i="6"/>
  <c r="E475" i="6"/>
  <c r="B475" i="6"/>
  <c r="T463" i="6"/>
  <c r="Q463" i="6"/>
  <c r="N463" i="6"/>
  <c r="K463" i="6"/>
  <c r="H463" i="6"/>
  <c r="E463" i="6"/>
  <c r="B463" i="6"/>
  <c r="T451" i="6"/>
  <c r="Q451" i="6"/>
  <c r="N451" i="6"/>
  <c r="K451" i="6"/>
  <c r="H451" i="6"/>
  <c r="E451" i="6"/>
  <c r="B451" i="6"/>
  <c r="T439" i="6"/>
  <c r="Q439" i="6"/>
  <c r="N439" i="6"/>
  <c r="K439" i="6"/>
  <c r="H439" i="6"/>
  <c r="E439" i="6"/>
  <c r="B439" i="6"/>
  <c r="T427" i="6"/>
  <c r="Q427" i="6"/>
  <c r="N427" i="6"/>
  <c r="K427" i="6"/>
  <c r="H427" i="6"/>
  <c r="E427" i="6"/>
  <c r="B427" i="6"/>
  <c r="T415" i="6"/>
  <c r="Q415" i="6"/>
  <c r="N415" i="6"/>
  <c r="K415" i="6"/>
  <c r="H415" i="6"/>
  <c r="E415" i="6"/>
  <c r="B415" i="6"/>
  <c r="T403" i="6"/>
  <c r="Q403" i="6"/>
  <c r="N403" i="6"/>
  <c r="K403" i="6"/>
  <c r="H403" i="6"/>
  <c r="E403" i="6"/>
  <c r="B403" i="6"/>
  <c r="T391" i="6"/>
  <c r="Q391" i="6"/>
  <c r="N391" i="6"/>
  <c r="K391" i="6"/>
  <c r="H391" i="6"/>
  <c r="E391" i="6"/>
  <c r="B391" i="6"/>
  <c r="T379" i="6"/>
  <c r="Q379" i="6"/>
  <c r="N379" i="6"/>
  <c r="K379" i="6"/>
  <c r="H379" i="6"/>
  <c r="E379" i="6"/>
  <c r="B379" i="6"/>
  <c r="T367" i="6"/>
  <c r="Q367" i="6"/>
  <c r="N367" i="6"/>
  <c r="K367" i="6"/>
  <c r="H367" i="6"/>
  <c r="E367" i="6"/>
  <c r="B367" i="6"/>
  <c r="T355" i="6"/>
  <c r="Q355" i="6"/>
  <c r="N355" i="6"/>
  <c r="K355" i="6"/>
  <c r="H355" i="6"/>
  <c r="E355" i="6"/>
  <c r="B355" i="6"/>
  <c r="T343" i="6"/>
  <c r="Q343" i="6"/>
  <c r="N343" i="6"/>
  <c r="K343" i="6"/>
  <c r="H343" i="6"/>
  <c r="E343" i="6"/>
  <c r="B343" i="6"/>
  <c r="T331" i="6"/>
  <c r="Q331" i="6"/>
  <c r="N331" i="6"/>
  <c r="K331" i="6"/>
  <c r="H331" i="6"/>
  <c r="E331" i="6"/>
  <c r="B331" i="6"/>
  <c r="T319" i="6"/>
  <c r="Q319" i="6"/>
  <c r="N319" i="6"/>
  <c r="K319" i="6"/>
  <c r="H319" i="6"/>
  <c r="E319" i="6"/>
  <c r="B319" i="6"/>
  <c r="T307" i="6"/>
  <c r="Q307" i="6"/>
  <c r="N307" i="6"/>
  <c r="K307" i="6"/>
  <c r="H307" i="6"/>
  <c r="E307" i="6"/>
  <c r="B307" i="6"/>
  <c r="T295" i="6"/>
  <c r="Q295" i="6"/>
  <c r="N295" i="6"/>
  <c r="K295" i="6"/>
  <c r="H295" i="6"/>
  <c r="E295" i="6"/>
  <c r="B295" i="6"/>
  <c r="T283" i="6"/>
  <c r="Q283" i="6"/>
  <c r="N283" i="6"/>
  <c r="K283" i="6"/>
  <c r="H283" i="6"/>
  <c r="E283" i="6"/>
  <c r="B283" i="6"/>
  <c r="T271" i="6"/>
  <c r="Q271" i="6"/>
  <c r="N271" i="6"/>
  <c r="K271" i="6"/>
  <c r="H271" i="6"/>
  <c r="E271" i="6"/>
  <c r="B271" i="6"/>
  <c r="T259" i="6"/>
  <c r="Q259" i="6"/>
  <c r="N259" i="6"/>
  <c r="K259" i="6"/>
  <c r="H259" i="6"/>
  <c r="E259" i="6"/>
  <c r="B259" i="6"/>
  <c r="T247" i="6"/>
  <c r="Q247" i="6"/>
  <c r="N247" i="6"/>
  <c r="K247" i="6"/>
  <c r="H247" i="6"/>
  <c r="E247" i="6"/>
  <c r="B247" i="6"/>
  <c r="T235" i="6"/>
  <c r="Q235" i="6"/>
  <c r="N235" i="6"/>
  <c r="K235" i="6"/>
  <c r="H235" i="6"/>
  <c r="E235" i="6"/>
  <c r="B235" i="6"/>
  <c r="T223" i="6"/>
  <c r="Q223" i="6"/>
  <c r="N223" i="6"/>
  <c r="K223" i="6"/>
  <c r="H223" i="6"/>
  <c r="E223" i="6"/>
  <c r="B223" i="6"/>
  <c r="T211" i="6"/>
  <c r="Q211" i="6"/>
  <c r="N211" i="6"/>
  <c r="K211" i="6"/>
  <c r="H211" i="6"/>
  <c r="E211" i="6"/>
  <c r="B211" i="6"/>
  <c r="T199" i="6"/>
  <c r="Q199" i="6"/>
  <c r="N199" i="6"/>
  <c r="K199" i="6"/>
  <c r="H199" i="6"/>
  <c r="E199" i="6"/>
  <c r="B199" i="6"/>
  <c r="T187" i="6"/>
  <c r="Q187" i="6"/>
  <c r="N187" i="6"/>
  <c r="K187" i="6"/>
  <c r="H187" i="6"/>
  <c r="E187" i="6"/>
  <c r="B187" i="6"/>
  <c r="T175" i="6"/>
  <c r="Q175" i="6"/>
  <c r="N175" i="6"/>
  <c r="K175" i="6"/>
  <c r="H175" i="6"/>
  <c r="E175" i="6"/>
  <c r="B175" i="6"/>
  <c r="T163" i="6"/>
  <c r="Q163" i="6"/>
  <c r="N163" i="6"/>
  <c r="K163" i="6"/>
  <c r="H163" i="6"/>
  <c r="E163" i="6"/>
  <c r="B163" i="6"/>
  <c r="T151" i="6"/>
  <c r="Q151" i="6"/>
  <c r="N151" i="6"/>
  <c r="K151" i="6"/>
  <c r="H151" i="6"/>
  <c r="E151" i="6"/>
  <c r="B151" i="6"/>
  <c r="T139" i="6"/>
  <c r="Q139" i="6"/>
  <c r="N139" i="6"/>
  <c r="K139" i="6"/>
  <c r="H139" i="6"/>
  <c r="E139" i="6"/>
  <c r="B139" i="6"/>
  <c r="T127" i="6"/>
  <c r="Q127" i="6"/>
  <c r="N127" i="6"/>
  <c r="K127" i="6"/>
  <c r="H127" i="6"/>
  <c r="E127" i="6"/>
  <c r="B127" i="6"/>
  <c r="T115" i="6"/>
  <c r="Q115" i="6"/>
  <c r="N115" i="6"/>
  <c r="K115" i="6"/>
  <c r="H115" i="6"/>
  <c r="E115" i="6"/>
  <c r="B115" i="6"/>
  <c r="T103" i="6"/>
  <c r="Q103" i="6"/>
  <c r="N103" i="6"/>
  <c r="K103" i="6"/>
  <c r="H103" i="6"/>
  <c r="E103" i="6"/>
  <c r="B103" i="6"/>
  <c r="T91" i="6"/>
  <c r="Q91" i="6"/>
  <c r="N91" i="6"/>
  <c r="K91" i="6"/>
  <c r="H91" i="6"/>
  <c r="E91" i="6"/>
  <c r="B91" i="6"/>
  <c r="T79" i="6"/>
  <c r="Q79" i="6"/>
  <c r="N79" i="6"/>
  <c r="K79" i="6"/>
  <c r="H79" i="6"/>
  <c r="E79" i="6"/>
  <c r="B79" i="6"/>
  <c r="T67" i="6"/>
  <c r="Q67" i="6"/>
  <c r="N67" i="6"/>
  <c r="K67" i="6"/>
  <c r="H67" i="6"/>
  <c r="E67" i="6"/>
  <c r="B67" i="6"/>
  <c r="T57" i="6"/>
  <c r="Q57" i="6"/>
  <c r="N57" i="6"/>
  <c r="K57" i="6"/>
  <c r="H57" i="6"/>
  <c r="E57" i="6"/>
  <c r="B57" i="6"/>
  <c r="T45" i="6"/>
  <c r="Q45" i="6"/>
  <c r="N45" i="6"/>
  <c r="K45" i="6"/>
  <c r="H45" i="6"/>
  <c r="E45" i="6"/>
  <c r="B45" i="6"/>
  <c r="T34" i="6"/>
  <c r="Q34" i="6"/>
  <c r="N34" i="6"/>
  <c r="K34" i="6"/>
  <c r="H34" i="6"/>
  <c r="E34" i="6"/>
  <c r="B34" i="6"/>
  <c r="T23" i="6"/>
  <c r="Q23" i="6"/>
  <c r="N23" i="6"/>
  <c r="K23" i="6"/>
  <c r="H23" i="6"/>
  <c r="E23" i="6"/>
  <c r="B23" i="6"/>
  <c r="D15" i="6"/>
  <c r="D16" i="6" s="1"/>
  <c r="D17" i="6" s="1"/>
  <c r="D18" i="6" s="1"/>
  <c r="D19" i="6" s="1"/>
  <c r="D20" i="6" s="1"/>
  <c r="D21" i="6" s="1"/>
  <c r="D22" i="6" s="1"/>
  <c r="G13" i="6" s="1"/>
  <c r="G14" i="6" s="1"/>
  <c r="G15" i="6" s="1"/>
  <c r="G16" i="6" s="1"/>
  <c r="G17" i="6" s="1"/>
  <c r="G18" i="6" s="1"/>
  <c r="G19" i="6" s="1"/>
  <c r="G20" i="6" s="1"/>
  <c r="G21" i="6" s="1"/>
  <c r="G22" i="6" s="1"/>
  <c r="J13" i="6" s="1"/>
  <c r="J14" i="6" s="1"/>
  <c r="J15" i="6" s="1"/>
  <c r="J16" i="6" s="1"/>
  <c r="J17" i="6" s="1"/>
  <c r="J18" i="6" s="1"/>
  <c r="J19" i="6" s="1"/>
  <c r="J20" i="6" s="1"/>
  <c r="J21" i="6" s="1"/>
  <c r="J22" i="6" s="1"/>
  <c r="M13" i="6" s="1"/>
  <c r="M14" i="6" s="1"/>
  <c r="M15" i="6" s="1"/>
  <c r="M16" i="6" s="1"/>
  <c r="M17" i="6" s="1"/>
  <c r="M18" i="6" s="1"/>
  <c r="M19" i="6" s="1"/>
  <c r="M20" i="6" s="1"/>
  <c r="M21" i="6" s="1"/>
  <c r="M22" i="6" s="1"/>
  <c r="P13" i="6" s="1"/>
  <c r="P14" i="6" s="1"/>
  <c r="P15" i="6" s="1"/>
  <c r="P16" i="6" s="1"/>
  <c r="P17" i="6" s="1"/>
  <c r="P18" i="6" s="1"/>
  <c r="P19" i="6" s="1"/>
  <c r="P20" i="6" s="1"/>
  <c r="P21" i="6" s="1"/>
  <c r="P22" i="6" s="1"/>
  <c r="S13" i="6" s="1"/>
  <c r="S14" i="6" s="1"/>
  <c r="S15" i="6" s="1"/>
  <c r="S16" i="6" s="1"/>
  <c r="S17" i="6" s="1"/>
  <c r="S18" i="6" s="1"/>
  <c r="S19" i="6" s="1"/>
  <c r="S20" i="6" s="1"/>
  <c r="S21" i="6" s="1"/>
  <c r="S22" i="6" s="1"/>
  <c r="V13" i="6" s="1"/>
  <c r="V14" i="6" s="1"/>
  <c r="V15" i="6" s="1"/>
  <c r="V16" i="6" s="1"/>
  <c r="V17" i="6" s="1"/>
  <c r="V18" i="6" s="1"/>
  <c r="V19" i="6" s="1"/>
  <c r="V20" i="6" s="1"/>
  <c r="V21" i="6" s="1"/>
  <c r="V22" i="6" s="1"/>
  <c r="D24" i="6" s="1"/>
  <c r="D25" i="6" s="1"/>
  <c r="D26" i="6" s="1"/>
  <c r="D27" i="6" s="1"/>
  <c r="D28" i="6" s="1"/>
  <c r="D29" i="6" s="1"/>
  <c r="D30" i="6" s="1"/>
  <c r="D31" i="6" s="1"/>
  <c r="D32" i="6" s="1"/>
  <c r="D33" i="6" s="1"/>
  <c r="G24" i="6" s="1"/>
  <c r="G25" i="6" s="1"/>
  <c r="G26" i="6" s="1"/>
  <c r="G27" i="6" s="1"/>
  <c r="G28" i="6" s="1"/>
  <c r="G29" i="6" s="1"/>
  <c r="G30" i="6" s="1"/>
  <c r="G31" i="6" s="1"/>
  <c r="G32" i="6" s="1"/>
  <c r="G33" i="6" s="1"/>
  <c r="J24" i="6" s="1"/>
  <c r="J25" i="6" s="1"/>
  <c r="J26" i="6" s="1"/>
  <c r="J27" i="6" s="1"/>
  <c r="J28" i="6" s="1"/>
  <c r="J29" i="6" s="1"/>
  <c r="J30" i="6" s="1"/>
  <c r="J31" i="6" s="1"/>
  <c r="J32" i="6" s="1"/>
  <c r="J33" i="6" s="1"/>
  <c r="M24" i="6" s="1"/>
  <c r="M25" i="6" s="1"/>
  <c r="M26" i="6" s="1"/>
  <c r="M27" i="6" s="1"/>
  <c r="M28" i="6" s="1"/>
  <c r="M29" i="6" s="1"/>
  <c r="M30" i="6" s="1"/>
  <c r="M31" i="6" s="1"/>
  <c r="M32" i="6" s="1"/>
  <c r="M33" i="6" s="1"/>
  <c r="P24" i="6" s="1"/>
  <c r="P25" i="6" s="1"/>
  <c r="P26" i="6" s="1"/>
  <c r="P27" i="6" s="1"/>
  <c r="P28" i="6" s="1"/>
  <c r="P29" i="6" s="1"/>
  <c r="P30" i="6" s="1"/>
  <c r="P31" i="6" s="1"/>
  <c r="P32" i="6" s="1"/>
  <c r="P33" i="6" s="1"/>
  <c r="S24" i="6" s="1"/>
  <c r="S25" i="6" s="1"/>
  <c r="S26" i="6" s="1"/>
  <c r="S27" i="6" s="1"/>
  <c r="S28" i="6" s="1"/>
  <c r="S29" i="6" s="1"/>
  <c r="S30" i="6" s="1"/>
  <c r="S31" i="6" s="1"/>
  <c r="S32" i="6" s="1"/>
  <c r="S33" i="6" s="1"/>
  <c r="V24" i="6" s="1"/>
  <c r="V25" i="6" s="1"/>
  <c r="V26" i="6" s="1"/>
  <c r="V27" i="6" s="1"/>
  <c r="V28" i="6" s="1"/>
  <c r="V29" i="6" s="1"/>
  <c r="V30" i="6" s="1"/>
  <c r="V31" i="6" s="1"/>
  <c r="V32" i="6" s="1"/>
  <c r="V33" i="6" s="1"/>
  <c r="D35" i="6" s="1"/>
  <c r="D36" i="6" s="1"/>
  <c r="D37" i="6" s="1"/>
  <c r="D38" i="6" s="1"/>
  <c r="D39" i="6" s="1"/>
  <c r="D40" i="6" s="1"/>
  <c r="D41" i="6" s="1"/>
  <c r="D42" i="6" s="1"/>
  <c r="D43" i="6" s="1"/>
  <c r="D44" i="6" s="1"/>
  <c r="G35" i="6" s="1"/>
  <c r="G36" i="6" s="1"/>
  <c r="G37" i="6" s="1"/>
  <c r="G38" i="6" s="1"/>
  <c r="G39" i="6" s="1"/>
  <c r="G40" i="6" s="1"/>
  <c r="G41" i="6" s="1"/>
  <c r="G42" i="6" s="1"/>
  <c r="G43" i="6" s="1"/>
  <c r="G44" i="6" s="1"/>
  <c r="J35" i="6" s="1"/>
  <c r="J36" i="6" s="1"/>
  <c r="J37" i="6" s="1"/>
  <c r="J38" i="6" s="1"/>
  <c r="J39" i="6" s="1"/>
  <c r="J40" i="6" s="1"/>
  <c r="J41" i="6" s="1"/>
  <c r="J42" i="6" s="1"/>
  <c r="J43" i="6" s="1"/>
  <c r="J44" i="6" s="1"/>
  <c r="M35" i="6" s="1"/>
  <c r="M36" i="6" s="1"/>
  <c r="M37" i="6" s="1"/>
  <c r="M38" i="6" s="1"/>
  <c r="M39" i="6" s="1"/>
  <c r="M40" i="6" s="1"/>
  <c r="M41" i="6" s="1"/>
  <c r="M42" i="6" s="1"/>
  <c r="M43" i="6" s="1"/>
  <c r="M44" i="6" s="1"/>
  <c r="P35" i="6" s="1"/>
  <c r="P36" i="6" s="1"/>
  <c r="P37" i="6" s="1"/>
  <c r="P38" i="6" s="1"/>
  <c r="P39" i="6" s="1"/>
  <c r="P40" i="6" s="1"/>
  <c r="P41" i="6" s="1"/>
  <c r="P42" i="6" s="1"/>
  <c r="P43" i="6" s="1"/>
  <c r="P44" i="6" s="1"/>
  <c r="S35" i="6" s="1"/>
  <c r="S36" i="6" s="1"/>
  <c r="S37" i="6" s="1"/>
  <c r="S38" i="6" s="1"/>
  <c r="S39" i="6" s="1"/>
  <c r="S40" i="6" s="1"/>
  <c r="S41" i="6" s="1"/>
  <c r="S42" i="6" s="1"/>
  <c r="S43" i="6" s="1"/>
  <c r="S44" i="6" s="1"/>
  <c r="V35" i="6" s="1"/>
  <c r="V36" i="6" s="1"/>
  <c r="V37" i="6" s="1"/>
  <c r="V38" i="6" s="1"/>
  <c r="V39" i="6" s="1"/>
  <c r="V40" i="6" s="1"/>
  <c r="V41" i="6" s="1"/>
  <c r="V42" i="6" s="1"/>
  <c r="V43" i="6" s="1"/>
  <c r="V44" i="6" s="1"/>
  <c r="D46" i="6" s="1"/>
  <c r="D47" i="6" s="1"/>
  <c r="D48" i="6" s="1"/>
  <c r="D49" i="6" s="1"/>
  <c r="D50" i="6" s="1"/>
  <c r="D51" i="6" s="1"/>
  <c r="D52" i="6" s="1"/>
  <c r="D53" i="6" s="1"/>
  <c r="D54" i="6" s="1"/>
  <c r="D55" i="6" s="1"/>
  <c r="D56" i="6" s="1"/>
  <c r="G46" i="6" s="1"/>
  <c r="G47" i="6" s="1"/>
  <c r="G48" i="6" s="1"/>
  <c r="G49" i="6" s="1"/>
  <c r="G50" i="6" s="1"/>
  <c r="G51" i="6" s="1"/>
  <c r="G52" i="6" s="1"/>
  <c r="G53" i="6" s="1"/>
  <c r="G54" i="6" s="1"/>
  <c r="G55" i="6" s="1"/>
  <c r="G56" i="6" s="1"/>
  <c r="J46" i="6" s="1"/>
  <c r="J47" i="6" s="1"/>
  <c r="J48" i="6" s="1"/>
  <c r="J49" i="6" s="1"/>
  <c r="J50" i="6" s="1"/>
  <c r="J51" i="6" s="1"/>
  <c r="J52" i="6" s="1"/>
  <c r="J53" i="6" s="1"/>
  <c r="J54" i="6" s="1"/>
  <c r="J55" i="6" s="1"/>
  <c r="J56" i="6" s="1"/>
  <c r="M46" i="6" s="1"/>
  <c r="M47" i="6" s="1"/>
  <c r="M48" i="6" s="1"/>
  <c r="M49" i="6" s="1"/>
  <c r="M50" i="6" s="1"/>
  <c r="M51" i="6" s="1"/>
  <c r="M52" i="6" s="1"/>
  <c r="M53" i="6" s="1"/>
  <c r="M54" i="6" s="1"/>
  <c r="M55" i="6" s="1"/>
  <c r="M56" i="6" s="1"/>
  <c r="P46" i="6" s="1"/>
  <c r="P47" i="6" s="1"/>
  <c r="P48" i="6" s="1"/>
  <c r="P49" i="6" s="1"/>
  <c r="P50" i="6" s="1"/>
  <c r="P51" i="6" s="1"/>
  <c r="P52" i="6" s="1"/>
  <c r="P53" i="6" s="1"/>
  <c r="P54" i="6" s="1"/>
  <c r="P55" i="6" s="1"/>
  <c r="P56" i="6" s="1"/>
  <c r="S46" i="6" s="1"/>
  <c r="S47" i="6" s="1"/>
  <c r="S48" i="6" s="1"/>
  <c r="S49" i="6" s="1"/>
  <c r="S50" i="6" s="1"/>
  <c r="S51" i="6" s="1"/>
  <c r="S52" i="6" s="1"/>
  <c r="S53" i="6" s="1"/>
  <c r="S54" i="6" s="1"/>
  <c r="S55" i="6" s="1"/>
  <c r="S56" i="6" s="1"/>
  <c r="V46" i="6" s="1"/>
  <c r="V47" i="6" s="1"/>
  <c r="V48" i="6" s="1"/>
  <c r="V49" i="6" s="1"/>
  <c r="V50" i="6" s="1"/>
  <c r="V51" i="6" s="1"/>
  <c r="V52" i="6" s="1"/>
  <c r="V53" i="6" s="1"/>
  <c r="V54" i="6" s="1"/>
  <c r="V55" i="6" s="1"/>
  <c r="V56" i="6" s="1"/>
  <c r="D58" i="6" s="1"/>
  <c r="D59" i="6" s="1"/>
  <c r="D60" i="6" s="1"/>
  <c r="D61" i="6" s="1"/>
  <c r="D62" i="6" s="1"/>
  <c r="D63" i="6" s="1"/>
  <c r="D64" i="6" s="1"/>
  <c r="D65" i="6" s="1"/>
  <c r="D66" i="6" s="1"/>
  <c r="G58" i="6" s="1"/>
  <c r="G59" i="6" s="1"/>
  <c r="G60" i="6" s="1"/>
  <c r="G61" i="6" s="1"/>
  <c r="G62" i="6" s="1"/>
  <c r="G63" i="6" s="1"/>
  <c r="G64" i="6" s="1"/>
  <c r="G65" i="6" s="1"/>
  <c r="G66" i="6" s="1"/>
  <c r="J58" i="6" s="1"/>
  <c r="J59" i="6" s="1"/>
  <c r="J60" i="6" s="1"/>
  <c r="J61" i="6" s="1"/>
  <c r="J62" i="6" s="1"/>
  <c r="J63" i="6" s="1"/>
  <c r="J64" i="6" s="1"/>
  <c r="J65" i="6" s="1"/>
  <c r="J66" i="6" s="1"/>
  <c r="M58" i="6" s="1"/>
  <c r="M59" i="6" s="1"/>
  <c r="M60" i="6" s="1"/>
  <c r="M61" i="6" s="1"/>
  <c r="M62" i="6" s="1"/>
  <c r="M63" i="6" s="1"/>
  <c r="M64" i="6" s="1"/>
  <c r="M65" i="6" s="1"/>
  <c r="M66" i="6" s="1"/>
  <c r="P58" i="6" s="1"/>
  <c r="P59" i="6" s="1"/>
  <c r="P60" i="6" s="1"/>
  <c r="P61" i="6" s="1"/>
  <c r="P62" i="6" s="1"/>
  <c r="P63" i="6" s="1"/>
  <c r="P64" i="6" s="1"/>
  <c r="P65" i="6" s="1"/>
  <c r="P66" i="6" s="1"/>
  <c r="S58" i="6" s="1"/>
  <c r="S59" i="6" s="1"/>
  <c r="S60" i="6" s="1"/>
  <c r="S61" i="6" s="1"/>
  <c r="S62" i="6" s="1"/>
  <c r="S63" i="6" s="1"/>
  <c r="S64" i="6" s="1"/>
  <c r="S65" i="6" s="1"/>
  <c r="S66" i="6" s="1"/>
  <c r="V58" i="6" s="1"/>
  <c r="V59" i="6" s="1"/>
  <c r="V60" i="6" s="1"/>
  <c r="V61" i="6" s="1"/>
  <c r="V62" i="6" s="1"/>
  <c r="V63" i="6" s="1"/>
  <c r="V64" i="6" s="1"/>
  <c r="V65" i="6" s="1"/>
  <c r="V66" i="6" s="1"/>
  <c r="D68" i="6" s="1"/>
  <c r="D69" i="6" s="1"/>
  <c r="D70" i="6" s="1"/>
  <c r="D71" i="6" s="1"/>
  <c r="D72" i="6" s="1"/>
  <c r="D73" i="6" s="1"/>
  <c r="D74" i="6" s="1"/>
  <c r="D75" i="6" s="1"/>
  <c r="D76" i="6" s="1"/>
  <c r="D77" i="6" s="1"/>
  <c r="D78" i="6" s="1"/>
  <c r="G68" i="6" s="1"/>
  <c r="G69" i="6" s="1"/>
  <c r="G70" i="6" s="1"/>
  <c r="G71" i="6" s="1"/>
  <c r="G72" i="6" s="1"/>
  <c r="G73" i="6" s="1"/>
  <c r="G74" i="6" s="1"/>
  <c r="G75" i="6" s="1"/>
  <c r="G76" i="6" s="1"/>
  <c r="G77" i="6" s="1"/>
  <c r="G78" i="6" s="1"/>
  <c r="J68" i="6" s="1"/>
  <c r="J69" i="6" s="1"/>
  <c r="J70" i="6" s="1"/>
  <c r="J71" i="6" s="1"/>
  <c r="J72" i="6" s="1"/>
  <c r="J73" i="6" s="1"/>
  <c r="J74" i="6" s="1"/>
  <c r="J75" i="6" s="1"/>
  <c r="J76" i="6" s="1"/>
  <c r="J77" i="6" s="1"/>
  <c r="J78" i="6" s="1"/>
  <c r="M68" i="6" s="1"/>
  <c r="M69" i="6" s="1"/>
  <c r="M70" i="6" s="1"/>
  <c r="M71" i="6" s="1"/>
  <c r="M72" i="6" s="1"/>
  <c r="M73" i="6" s="1"/>
  <c r="M74" i="6" s="1"/>
  <c r="M75" i="6" s="1"/>
  <c r="M76" i="6" s="1"/>
  <c r="M77" i="6" s="1"/>
  <c r="M78" i="6" s="1"/>
  <c r="P68" i="6" s="1"/>
  <c r="P69" i="6" s="1"/>
  <c r="P70" i="6" s="1"/>
  <c r="P71" i="6" s="1"/>
  <c r="P72" i="6" s="1"/>
  <c r="P73" i="6" s="1"/>
  <c r="P74" i="6" s="1"/>
  <c r="P75" i="6" s="1"/>
  <c r="P76" i="6" s="1"/>
  <c r="P77" i="6" s="1"/>
  <c r="P78" i="6" s="1"/>
  <c r="S68" i="6" s="1"/>
  <c r="S69" i="6" s="1"/>
  <c r="S70" i="6" s="1"/>
  <c r="S71" i="6" s="1"/>
  <c r="S72" i="6" s="1"/>
  <c r="S73" i="6" s="1"/>
  <c r="S74" i="6" s="1"/>
  <c r="S75" i="6" s="1"/>
  <c r="S76" i="6" s="1"/>
  <c r="S77" i="6" s="1"/>
  <c r="S78" i="6" s="1"/>
  <c r="V68" i="6" s="1"/>
  <c r="V69" i="6" s="1"/>
  <c r="V70" i="6" s="1"/>
  <c r="V71" i="6" s="1"/>
  <c r="V72" i="6" s="1"/>
  <c r="V73" i="6" s="1"/>
  <c r="V74" i="6" s="1"/>
  <c r="V75" i="6" s="1"/>
  <c r="V76" i="6" s="1"/>
  <c r="V77" i="6" s="1"/>
  <c r="V78" i="6" s="1"/>
  <c r="D80" i="6" s="1"/>
  <c r="D81" i="6" s="1"/>
  <c r="D82" i="6" s="1"/>
  <c r="D83" i="6" s="1"/>
  <c r="D84" i="6" s="1"/>
  <c r="D85" i="6" s="1"/>
  <c r="D86" i="6" s="1"/>
  <c r="D87" i="6" s="1"/>
  <c r="D88" i="6" s="1"/>
  <c r="D89" i="6" s="1"/>
  <c r="D90" i="6" s="1"/>
  <c r="G80" i="6" s="1"/>
  <c r="G81" i="6" s="1"/>
  <c r="G82" i="6" s="1"/>
  <c r="G83" i="6" s="1"/>
  <c r="G84" i="6" s="1"/>
  <c r="G85" i="6" s="1"/>
  <c r="G86" i="6" s="1"/>
  <c r="G87" i="6" s="1"/>
  <c r="G88" i="6" s="1"/>
  <c r="G89" i="6" s="1"/>
  <c r="G90" i="6" s="1"/>
  <c r="J80" i="6" s="1"/>
  <c r="J81" i="6" s="1"/>
  <c r="J82" i="6" s="1"/>
  <c r="J83" i="6" s="1"/>
  <c r="J84" i="6" s="1"/>
  <c r="J85" i="6" s="1"/>
  <c r="J86" i="6" s="1"/>
  <c r="J87" i="6" s="1"/>
  <c r="J88" i="6" s="1"/>
  <c r="J89" i="6" s="1"/>
  <c r="J90" i="6" s="1"/>
  <c r="M80" i="6" s="1"/>
  <c r="M81" i="6" s="1"/>
  <c r="M82" i="6" s="1"/>
  <c r="M83" i="6" s="1"/>
  <c r="M84" i="6" s="1"/>
  <c r="M85" i="6" s="1"/>
  <c r="M86" i="6" s="1"/>
  <c r="M87" i="6" s="1"/>
  <c r="M88" i="6" s="1"/>
  <c r="M89" i="6" s="1"/>
  <c r="M90" i="6" s="1"/>
  <c r="P80" i="6" s="1"/>
  <c r="P81" i="6" s="1"/>
  <c r="P82" i="6" s="1"/>
  <c r="P83" i="6" s="1"/>
  <c r="P84" i="6" s="1"/>
  <c r="P85" i="6" s="1"/>
  <c r="P86" i="6" s="1"/>
  <c r="P87" i="6" s="1"/>
  <c r="P88" i="6" s="1"/>
  <c r="P89" i="6" s="1"/>
  <c r="P90" i="6" s="1"/>
  <c r="S80" i="6" s="1"/>
  <c r="S81" i="6" s="1"/>
  <c r="S82" i="6" s="1"/>
  <c r="S83" i="6" s="1"/>
  <c r="S84" i="6" s="1"/>
  <c r="S85" i="6" s="1"/>
  <c r="S86" i="6" s="1"/>
  <c r="S87" i="6" s="1"/>
  <c r="S88" i="6" s="1"/>
  <c r="S89" i="6" s="1"/>
  <c r="S90" i="6" s="1"/>
  <c r="V80" i="6" s="1"/>
  <c r="V81" i="6" s="1"/>
  <c r="V82" i="6" s="1"/>
  <c r="V83" i="6" s="1"/>
  <c r="V84" i="6" s="1"/>
  <c r="V85" i="6" s="1"/>
  <c r="V86" i="6" s="1"/>
  <c r="V87" i="6" s="1"/>
  <c r="V88" i="6" s="1"/>
  <c r="V89" i="6" s="1"/>
  <c r="V90" i="6" s="1"/>
  <c r="D92" i="6" s="1"/>
  <c r="D93" i="6" s="1"/>
  <c r="D94" i="6" s="1"/>
  <c r="D95" i="6" s="1"/>
  <c r="D96" i="6" s="1"/>
  <c r="D97" i="6" s="1"/>
  <c r="D98" i="6" s="1"/>
  <c r="D99" i="6" s="1"/>
  <c r="D100" i="6" s="1"/>
  <c r="D101" i="6" s="1"/>
  <c r="D102" i="6" s="1"/>
  <c r="G92" i="6" s="1"/>
  <c r="G93" i="6" s="1"/>
  <c r="G94" i="6" s="1"/>
  <c r="G95" i="6" s="1"/>
  <c r="G96" i="6" s="1"/>
  <c r="G97" i="6" s="1"/>
  <c r="G98" i="6" s="1"/>
  <c r="G99" i="6" s="1"/>
  <c r="G100" i="6" s="1"/>
  <c r="G101" i="6" s="1"/>
  <c r="G102" i="6" s="1"/>
  <c r="J92" i="6" s="1"/>
  <c r="J93" i="6" s="1"/>
  <c r="J94" i="6" s="1"/>
  <c r="J95" i="6" s="1"/>
  <c r="J96" i="6" s="1"/>
  <c r="J97" i="6" s="1"/>
  <c r="J98" i="6" s="1"/>
  <c r="J99" i="6" s="1"/>
  <c r="J100" i="6" s="1"/>
  <c r="J101" i="6" s="1"/>
  <c r="J102" i="6" s="1"/>
  <c r="M92" i="6" s="1"/>
  <c r="M93" i="6" s="1"/>
  <c r="M94" i="6" s="1"/>
  <c r="M95" i="6" s="1"/>
  <c r="M96" i="6" s="1"/>
  <c r="M97" i="6" s="1"/>
  <c r="M98" i="6" s="1"/>
  <c r="M99" i="6" s="1"/>
  <c r="M100" i="6" s="1"/>
  <c r="M101" i="6" s="1"/>
  <c r="M102" i="6" s="1"/>
  <c r="P92" i="6" s="1"/>
  <c r="P93" i="6" s="1"/>
  <c r="P94" i="6" s="1"/>
  <c r="P95" i="6" s="1"/>
  <c r="P96" i="6" s="1"/>
  <c r="P97" i="6" s="1"/>
  <c r="P98" i="6" s="1"/>
  <c r="P99" i="6" s="1"/>
  <c r="P100" i="6" s="1"/>
  <c r="P101" i="6" s="1"/>
  <c r="P102" i="6" s="1"/>
  <c r="S92" i="6" s="1"/>
  <c r="S93" i="6" s="1"/>
  <c r="S94" i="6" s="1"/>
  <c r="S95" i="6" s="1"/>
  <c r="S96" i="6" s="1"/>
  <c r="S97" i="6" s="1"/>
  <c r="S98" i="6" s="1"/>
  <c r="S99" i="6" s="1"/>
  <c r="S100" i="6" s="1"/>
  <c r="S101" i="6" s="1"/>
  <c r="S102" i="6" s="1"/>
  <c r="V92" i="6" s="1"/>
  <c r="V93" i="6" s="1"/>
  <c r="V94" i="6" s="1"/>
  <c r="V95" i="6" s="1"/>
  <c r="V96" i="6" s="1"/>
  <c r="V97" i="6" s="1"/>
  <c r="V98" i="6" s="1"/>
  <c r="V99" i="6" s="1"/>
  <c r="V100" i="6" s="1"/>
  <c r="V101" i="6" s="1"/>
  <c r="V102" i="6" s="1"/>
  <c r="D104" i="6" s="1"/>
  <c r="D105" i="6" s="1"/>
  <c r="D106" i="6" s="1"/>
  <c r="D107" i="6" s="1"/>
  <c r="D108" i="6" s="1"/>
  <c r="D109" i="6" s="1"/>
  <c r="D110" i="6" s="1"/>
  <c r="D111" i="6" s="1"/>
  <c r="D112" i="6" s="1"/>
  <c r="D113" i="6" s="1"/>
  <c r="D114" i="6" s="1"/>
  <c r="G104" i="6" s="1"/>
  <c r="G105" i="6" s="1"/>
  <c r="G106" i="6" s="1"/>
  <c r="G107" i="6" s="1"/>
  <c r="G108" i="6" s="1"/>
  <c r="G109" i="6" s="1"/>
  <c r="G110" i="6" s="1"/>
  <c r="G111" i="6" s="1"/>
  <c r="G112" i="6" s="1"/>
  <c r="G113" i="6" s="1"/>
  <c r="G114" i="6" s="1"/>
  <c r="J104" i="6" s="1"/>
  <c r="J105" i="6" s="1"/>
  <c r="J106" i="6" s="1"/>
  <c r="J107" i="6" s="1"/>
  <c r="J108" i="6" s="1"/>
  <c r="J109" i="6" s="1"/>
  <c r="J110" i="6" s="1"/>
  <c r="J111" i="6" s="1"/>
  <c r="J112" i="6" s="1"/>
  <c r="J113" i="6" s="1"/>
  <c r="J114" i="6" s="1"/>
  <c r="M104" i="6" s="1"/>
  <c r="M105" i="6" s="1"/>
  <c r="M106" i="6" s="1"/>
  <c r="M107" i="6" s="1"/>
  <c r="M108" i="6" s="1"/>
  <c r="M109" i="6" s="1"/>
  <c r="M110" i="6" s="1"/>
  <c r="M111" i="6" s="1"/>
  <c r="M112" i="6" s="1"/>
  <c r="M113" i="6" s="1"/>
  <c r="M114" i="6" s="1"/>
  <c r="P104" i="6" s="1"/>
  <c r="P105" i="6" s="1"/>
  <c r="P106" i="6" s="1"/>
  <c r="P107" i="6" s="1"/>
  <c r="P108" i="6" s="1"/>
  <c r="P109" i="6" s="1"/>
  <c r="P110" i="6" s="1"/>
  <c r="P111" i="6" s="1"/>
  <c r="P112" i="6" s="1"/>
  <c r="P113" i="6" s="1"/>
  <c r="P114" i="6" s="1"/>
  <c r="S104" i="6" s="1"/>
  <c r="S105" i="6" s="1"/>
  <c r="S106" i="6" s="1"/>
  <c r="S107" i="6" s="1"/>
  <c r="S108" i="6" s="1"/>
  <c r="S109" i="6" s="1"/>
  <c r="S110" i="6" s="1"/>
  <c r="S111" i="6" s="1"/>
  <c r="S112" i="6" s="1"/>
  <c r="S113" i="6" s="1"/>
  <c r="S114" i="6" s="1"/>
  <c r="V104" i="6" s="1"/>
  <c r="V105" i="6" s="1"/>
  <c r="V106" i="6" s="1"/>
  <c r="V107" i="6" s="1"/>
  <c r="V108" i="6" s="1"/>
  <c r="V109" i="6" s="1"/>
  <c r="V110" i="6" s="1"/>
  <c r="V111" i="6" s="1"/>
  <c r="V112" i="6" s="1"/>
  <c r="V113" i="6" s="1"/>
  <c r="V114" i="6" s="1"/>
  <c r="D116" i="6" s="1"/>
  <c r="D117" i="6" s="1"/>
  <c r="D118" i="6" s="1"/>
  <c r="D119" i="6" s="1"/>
  <c r="D120" i="6" s="1"/>
  <c r="D121" i="6" s="1"/>
  <c r="D122" i="6" s="1"/>
  <c r="D123" i="6" s="1"/>
  <c r="D124" i="6" s="1"/>
  <c r="D125" i="6" s="1"/>
  <c r="D126" i="6" s="1"/>
  <c r="G116" i="6" s="1"/>
  <c r="G117" i="6" s="1"/>
  <c r="G118" i="6" s="1"/>
  <c r="G119" i="6" s="1"/>
  <c r="G120" i="6" s="1"/>
  <c r="G121" i="6" s="1"/>
  <c r="G122" i="6" s="1"/>
  <c r="G123" i="6" s="1"/>
  <c r="G124" i="6" s="1"/>
  <c r="G125" i="6" s="1"/>
  <c r="G126" i="6" s="1"/>
  <c r="J116" i="6" s="1"/>
  <c r="J117" i="6" s="1"/>
  <c r="J118" i="6" s="1"/>
  <c r="J119" i="6" s="1"/>
  <c r="J120" i="6" s="1"/>
  <c r="J121" i="6" s="1"/>
  <c r="J122" i="6" s="1"/>
  <c r="J123" i="6" s="1"/>
  <c r="J124" i="6" s="1"/>
  <c r="J125" i="6" s="1"/>
  <c r="J126" i="6" s="1"/>
  <c r="M116" i="6" s="1"/>
  <c r="M117" i="6" s="1"/>
  <c r="M118" i="6" s="1"/>
  <c r="M119" i="6" s="1"/>
  <c r="M120" i="6" s="1"/>
  <c r="M121" i="6" s="1"/>
  <c r="M122" i="6" s="1"/>
  <c r="M123" i="6" s="1"/>
  <c r="M124" i="6" s="1"/>
  <c r="M125" i="6" s="1"/>
  <c r="M126" i="6" s="1"/>
  <c r="P116" i="6" s="1"/>
  <c r="P117" i="6" s="1"/>
  <c r="P118" i="6" s="1"/>
  <c r="P119" i="6" s="1"/>
  <c r="P120" i="6" s="1"/>
  <c r="P121" i="6" s="1"/>
  <c r="P122" i="6" s="1"/>
  <c r="P123" i="6" s="1"/>
  <c r="P124" i="6" s="1"/>
  <c r="P125" i="6" s="1"/>
  <c r="P126" i="6" s="1"/>
  <c r="S116" i="6" s="1"/>
  <c r="S117" i="6" s="1"/>
  <c r="S118" i="6" s="1"/>
  <c r="S119" i="6" s="1"/>
  <c r="S120" i="6" s="1"/>
  <c r="S121" i="6" s="1"/>
  <c r="S122" i="6" s="1"/>
  <c r="S123" i="6" s="1"/>
  <c r="S124" i="6" s="1"/>
  <c r="S125" i="6" s="1"/>
  <c r="S126" i="6" s="1"/>
  <c r="V116" i="6" s="1"/>
  <c r="V117" i="6" s="1"/>
  <c r="V118" i="6" s="1"/>
  <c r="V119" i="6" s="1"/>
  <c r="V120" i="6" s="1"/>
  <c r="V121" i="6" s="1"/>
  <c r="V122" i="6" s="1"/>
  <c r="V123" i="6" s="1"/>
  <c r="V124" i="6" s="1"/>
  <c r="V125" i="6" s="1"/>
  <c r="V126" i="6" s="1"/>
  <c r="D128" i="6" s="1"/>
  <c r="D129" i="6" s="1"/>
  <c r="D130" i="6" s="1"/>
  <c r="D131" i="6" s="1"/>
  <c r="D132" i="6" s="1"/>
  <c r="D133" i="6" s="1"/>
  <c r="D134" i="6" s="1"/>
  <c r="D135" i="6" s="1"/>
  <c r="D136" i="6" s="1"/>
  <c r="D137" i="6" s="1"/>
  <c r="D138" i="6" s="1"/>
  <c r="G128" i="6" s="1"/>
  <c r="G129" i="6" s="1"/>
  <c r="G130" i="6" s="1"/>
  <c r="G131" i="6" s="1"/>
  <c r="G132" i="6" s="1"/>
  <c r="G133" i="6" s="1"/>
  <c r="G134" i="6" s="1"/>
  <c r="G135" i="6" s="1"/>
  <c r="G136" i="6" s="1"/>
  <c r="G137" i="6" s="1"/>
  <c r="G138" i="6" s="1"/>
  <c r="J128" i="6" s="1"/>
  <c r="J129" i="6" s="1"/>
  <c r="J130" i="6" s="1"/>
  <c r="J131" i="6" s="1"/>
  <c r="J132" i="6" s="1"/>
  <c r="J133" i="6" s="1"/>
  <c r="J134" i="6" s="1"/>
  <c r="J135" i="6" s="1"/>
  <c r="J136" i="6" s="1"/>
  <c r="J137" i="6" s="1"/>
  <c r="J138" i="6" s="1"/>
  <c r="M128" i="6" s="1"/>
  <c r="M129" i="6" s="1"/>
  <c r="M130" i="6" s="1"/>
  <c r="M131" i="6" s="1"/>
  <c r="M132" i="6" s="1"/>
  <c r="M133" i="6" s="1"/>
  <c r="M134" i="6" s="1"/>
  <c r="M135" i="6" s="1"/>
  <c r="M136" i="6" s="1"/>
  <c r="M137" i="6" s="1"/>
  <c r="M138" i="6" s="1"/>
  <c r="P128" i="6" s="1"/>
  <c r="P129" i="6" s="1"/>
  <c r="P130" i="6" s="1"/>
  <c r="P131" i="6" s="1"/>
  <c r="P132" i="6" s="1"/>
  <c r="P133" i="6" s="1"/>
  <c r="P134" i="6" s="1"/>
  <c r="P135" i="6" s="1"/>
  <c r="P136" i="6" s="1"/>
  <c r="P137" i="6" s="1"/>
  <c r="P138" i="6" s="1"/>
  <c r="S128" i="6" s="1"/>
  <c r="S129" i="6" s="1"/>
  <c r="S130" i="6" s="1"/>
  <c r="S131" i="6" s="1"/>
  <c r="S132" i="6" s="1"/>
  <c r="S133" i="6" s="1"/>
  <c r="S134" i="6" s="1"/>
  <c r="S135" i="6" s="1"/>
  <c r="S136" i="6" s="1"/>
  <c r="S137" i="6" s="1"/>
  <c r="S138" i="6" s="1"/>
  <c r="V128" i="6" s="1"/>
  <c r="V129" i="6" s="1"/>
  <c r="V130" i="6" s="1"/>
  <c r="V131" i="6" s="1"/>
  <c r="V132" i="6" s="1"/>
  <c r="V133" i="6" s="1"/>
  <c r="V134" i="6" s="1"/>
  <c r="V135" i="6" s="1"/>
  <c r="V136" i="6" s="1"/>
  <c r="V137" i="6" s="1"/>
  <c r="V138" i="6" s="1"/>
  <c r="D140" i="6" s="1"/>
  <c r="D141" i="6" s="1"/>
  <c r="D142" i="6" s="1"/>
  <c r="D143" i="6" s="1"/>
  <c r="D144" i="6" s="1"/>
  <c r="D145" i="6" s="1"/>
  <c r="D146" i="6" s="1"/>
  <c r="D147" i="6" s="1"/>
  <c r="D148" i="6" s="1"/>
  <c r="D149" i="6" s="1"/>
  <c r="D150" i="6" s="1"/>
  <c r="G140" i="6" s="1"/>
  <c r="G141" i="6" s="1"/>
  <c r="G142" i="6" s="1"/>
  <c r="G143" i="6" s="1"/>
  <c r="G144" i="6" s="1"/>
  <c r="G145" i="6" s="1"/>
  <c r="G146" i="6" s="1"/>
  <c r="G147" i="6" s="1"/>
  <c r="G148" i="6" s="1"/>
  <c r="G149" i="6" s="1"/>
  <c r="G150" i="6" s="1"/>
  <c r="J140" i="6" s="1"/>
  <c r="J141" i="6" s="1"/>
  <c r="J142" i="6" s="1"/>
  <c r="J143" i="6" s="1"/>
  <c r="J144" i="6" s="1"/>
  <c r="J145" i="6" s="1"/>
  <c r="J146" i="6" s="1"/>
  <c r="J147" i="6" s="1"/>
  <c r="J148" i="6" s="1"/>
  <c r="J149" i="6" s="1"/>
  <c r="J150" i="6" s="1"/>
  <c r="M140" i="6" s="1"/>
  <c r="M141" i="6" s="1"/>
  <c r="M142" i="6" s="1"/>
  <c r="M143" i="6" s="1"/>
  <c r="M144" i="6" s="1"/>
  <c r="M145" i="6" s="1"/>
  <c r="M146" i="6" s="1"/>
  <c r="M147" i="6" s="1"/>
  <c r="M148" i="6" s="1"/>
  <c r="M149" i="6" s="1"/>
  <c r="M150" i="6" s="1"/>
  <c r="P140" i="6" s="1"/>
  <c r="P141" i="6" s="1"/>
  <c r="P142" i="6" s="1"/>
  <c r="P143" i="6" s="1"/>
  <c r="P144" i="6" s="1"/>
  <c r="P145" i="6" s="1"/>
  <c r="P146" i="6" s="1"/>
  <c r="P147" i="6" s="1"/>
  <c r="P148" i="6" s="1"/>
  <c r="P149" i="6" s="1"/>
  <c r="P150" i="6" s="1"/>
  <c r="S140" i="6" s="1"/>
  <c r="S141" i="6" s="1"/>
  <c r="S142" i="6" s="1"/>
  <c r="S143" i="6" s="1"/>
  <c r="S144" i="6" s="1"/>
  <c r="S145" i="6" s="1"/>
  <c r="S146" i="6" s="1"/>
  <c r="S147" i="6" s="1"/>
  <c r="S148" i="6" s="1"/>
  <c r="S149" i="6" s="1"/>
  <c r="S150" i="6" s="1"/>
  <c r="V140" i="6" s="1"/>
  <c r="V141" i="6" s="1"/>
  <c r="V142" i="6" s="1"/>
  <c r="V143" i="6" s="1"/>
  <c r="V144" i="6" s="1"/>
  <c r="V145" i="6" s="1"/>
  <c r="V146" i="6" s="1"/>
  <c r="V147" i="6" s="1"/>
  <c r="V148" i="6" s="1"/>
  <c r="V149" i="6" s="1"/>
  <c r="V150" i="6" s="1"/>
  <c r="D152" i="6" s="1"/>
  <c r="D153" i="6" s="1"/>
  <c r="D154" i="6" s="1"/>
  <c r="D155" i="6" s="1"/>
  <c r="D156" i="6" s="1"/>
  <c r="D157" i="6" s="1"/>
  <c r="D158" i="6" s="1"/>
  <c r="D159" i="6" s="1"/>
  <c r="D160" i="6" s="1"/>
  <c r="D161" i="6" s="1"/>
  <c r="D162" i="6" s="1"/>
  <c r="G152" i="6" s="1"/>
  <c r="G153" i="6" s="1"/>
  <c r="G154" i="6" s="1"/>
  <c r="G155" i="6" s="1"/>
  <c r="G156" i="6" s="1"/>
  <c r="G157" i="6" s="1"/>
  <c r="G158" i="6" s="1"/>
  <c r="G159" i="6" s="1"/>
  <c r="G160" i="6" s="1"/>
  <c r="G161" i="6" s="1"/>
  <c r="G162" i="6" s="1"/>
  <c r="J152" i="6" s="1"/>
  <c r="J153" i="6" s="1"/>
  <c r="J154" i="6" s="1"/>
  <c r="J155" i="6" s="1"/>
  <c r="J156" i="6" s="1"/>
  <c r="J157" i="6" s="1"/>
  <c r="J158" i="6" s="1"/>
  <c r="J159" i="6" s="1"/>
  <c r="J160" i="6" s="1"/>
  <c r="J161" i="6" s="1"/>
  <c r="J162" i="6" s="1"/>
  <c r="M152" i="6" s="1"/>
  <c r="M153" i="6" s="1"/>
  <c r="M154" i="6" s="1"/>
  <c r="M155" i="6" s="1"/>
  <c r="M156" i="6" s="1"/>
  <c r="M157" i="6" s="1"/>
  <c r="M158" i="6" s="1"/>
  <c r="M159" i="6" s="1"/>
  <c r="M160" i="6" s="1"/>
  <c r="M161" i="6" s="1"/>
  <c r="M162" i="6" s="1"/>
  <c r="P152" i="6" s="1"/>
  <c r="P153" i="6" s="1"/>
  <c r="P154" i="6" s="1"/>
  <c r="P155" i="6" s="1"/>
  <c r="P156" i="6" s="1"/>
  <c r="P157" i="6" s="1"/>
  <c r="P158" i="6" s="1"/>
  <c r="P159" i="6" s="1"/>
  <c r="P160" i="6" s="1"/>
  <c r="P161" i="6" s="1"/>
  <c r="P162" i="6" s="1"/>
  <c r="S152" i="6" s="1"/>
  <c r="S153" i="6" s="1"/>
  <c r="S154" i="6" s="1"/>
  <c r="S155" i="6" s="1"/>
  <c r="S156" i="6" s="1"/>
  <c r="S157" i="6" s="1"/>
  <c r="S158" i="6" s="1"/>
  <c r="S159" i="6" s="1"/>
  <c r="S160" i="6" s="1"/>
  <c r="S161" i="6" s="1"/>
  <c r="S162" i="6" s="1"/>
  <c r="V152" i="6" s="1"/>
  <c r="V153" i="6" s="1"/>
  <c r="V154" i="6" s="1"/>
  <c r="V155" i="6" s="1"/>
  <c r="V156" i="6" s="1"/>
  <c r="V157" i="6" s="1"/>
  <c r="V158" i="6" s="1"/>
  <c r="V159" i="6" s="1"/>
  <c r="V160" i="6" s="1"/>
  <c r="V161" i="6" s="1"/>
  <c r="V162" i="6" s="1"/>
  <c r="D164" i="6" s="1"/>
  <c r="D165" i="6" s="1"/>
  <c r="D166" i="6" s="1"/>
  <c r="D167" i="6" s="1"/>
  <c r="D168" i="6" s="1"/>
  <c r="D169" i="6" s="1"/>
  <c r="D170" i="6" s="1"/>
  <c r="D171" i="6" s="1"/>
  <c r="D172" i="6" s="1"/>
  <c r="D173" i="6" s="1"/>
  <c r="D174" i="6" s="1"/>
  <c r="G164" i="6" s="1"/>
  <c r="G165" i="6" s="1"/>
  <c r="G166" i="6" s="1"/>
  <c r="G167" i="6" s="1"/>
  <c r="G168" i="6" s="1"/>
  <c r="G169" i="6" s="1"/>
  <c r="G170" i="6" s="1"/>
  <c r="G171" i="6" s="1"/>
  <c r="G172" i="6" s="1"/>
  <c r="G173" i="6" s="1"/>
  <c r="G174" i="6" s="1"/>
  <c r="J164" i="6" s="1"/>
  <c r="J165" i="6" s="1"/>
  <c r="J166" i="6" s="1"/>
  <c r="J167" i="6" s="1"/>
  <c r="J168" i="6" s="1"/>
  <c r="J169" i="6" s="1"/>
  <c r="J170" i="6" s="1"/>
  <c r="J171" i="6" s="1"/>
  <c r="J172" i="6" s="1"/>
  <c r="J173" i="6" s="1"/>
  <c r="J174" i="6" s="1"/>
  <c r="M164" i="6" s="1"/>
  <c r="M165" i="6" s="1"/>
  <c r="M166" i="6" s="1"/>
  <c r="M167" i="6" s="1"/>
  <c r="M168" i="6" s="1"/>
  <c r="M169" i="6" s="1"/>
  <c r="M170" i="6" s="1"/>
  <c r="M171" i="6" s="1"/>
  <c r="M172" i="6" s="1"/>
  <c r="M173" i="6" s="1"/>
  <c r="M174" i="6" s="1"/>
  <c r="P164" i="6" s="1"/>
  <c r="P165" i="6" s="1"/>
  <c r="P166" i="6" s="1"/>
  <c r="P167" i="6" s="1"/>
  <c r="P168" i="6" s="1"/>
  <c r="P169" i="6" s="1"/>
  <c r="P170" i="6" s="1"/>
  <c r="P171" i="6" s="1"/>
  <c r="P172" i="6" s="1"/>
  <c r="P173" i="6" s="1"/>
  <c r="P174" i="6" s="1"/>
  <c r="S164" i="6" s="1"/>
  <c r="S165" i="6" s="1"/>
  <c r="S166" i="6" s="1"/>
  <c r="S167" i="6" s="1"/>
  <c r="S168" i="6" s="1"/>
  <c r="S169" i="6" s="1"/>
  <c r="S170" i="6" s="1"/>
  <c r="S171" i="6" s="1"/>
  <c r="S172" i="6" s="1"/>
  <c r="S173" i="6" s="1"/>
  <c r="S174" i="6" s="1"/>
  <c r="V164" i="6" s="1"/>
  <c r="V165" i="6" s="1"/>
  <c r="V166" i="6" s="1"/>
  <c r="V167" i="6" s="1"/>
  <c r="V168" i="6" s="1"/>
  <c r="V169" i="6" s="1"/>
  <c r="V170" i="6" s="1"/>
  <c r="V171" i="6" s="1"/>
  <c r="V172" i="6" s="1"/>
  <c r="V173" i="6" s="1"/>
  <c r="V174" i="6" s="1"/>
  <c r="D176" i="6" s="1"/>
  <c r="D177" i="6" s="1"/>
  <c r="D178" i="6" s="1"/>
  <c r="D179" i="6" s="1"/>
  <c r="D180" i="6" s="1"/>
  <c r="D181" i="6" s="1"/>
  <c r="D182" i="6" s="1"/>
  <c r="D183" i="6" s="1"/>
  <c r="D184" i="6" s="1"/>
  <c r="D185" i="6" s="1"/>
  <c r="D186" i="6" s="1"/>
  <c r="G176" i="6" s="1"/>
  <c r="G177" i="6" s="1"/>
  <c r="G178" i="6" s="1"/>
  <c r="G179" i="6" s="1"/>
  <c r="G180" i="6" s="1"/>
  <c r="G181" i="6" s="1"/>
  <c r="G182" i="6" s="1"/>
  <c r="G183" i="6" s="1"/>
  <c r="G184" i="6" s="1"/>
  <c r="G185" i="6" s="1"/>
  <c r="G186" i="6" s="1"/>
  <c r="J176" i="6" s="1"/>
  <c r="J177" i="6" s="1"/>
  <c r="J178" i="6" s="1"/>
  <c r="J179" i="6" s="1"/>
  <c r="J180" i="6" s="1"/>
  <c r="J181" i="6" s="1"/>
  <c r="J182" i="6" s="1"/>
  <c r="J183" i="6" s="1"/>
  <c r="J184" i="6" s="1"/>
  <c r="J185" i="6" s="1"/>
  <c r="J186" i="6" s="1"/>
  <c r="M176" i="6" s="1"/>
  <c r="M177" i="6" s="1"/>
  <c r="M178" i="6" s="1"/>
  <c r="M179" i="6" s="1"/>
  <c r="M180" i="6" s="1"/>
  <c r="M181" i="6" s="1"/>
  <c r="M182" i="6" s="1"/>
  <c r="M183" i="6" s="1"/>
  <c r="M184" i="6" s="1"/>
  <c r="M185" i="6" s="1"/>
  <c r="M186" i="6" s="1"/>
  <c r="P176" i="6" s="1"/>
  <c r="P177" i="6" s="1"/>
  <c r="P178" i="6" s="1"/>
  <c r="P179" i="6" s="1"/>
  <c r="P180" i="6" s="1"/>
  <c r="P181" i="6" s="1"/>
  <c r="P182" i="6" s="1"/>
  <c r="P183" i="6" s="1"/>
  <c r="P184" i="6" s="1"/>
  <c r="P185" i="6" s="1"/>
  <c r="P186" i="6" s="1"/>
  <c r="S176" i="6" s="1"/>
  <c r="S177" i="6" s="1"/>
  <c r="S178" i="6" s="1"/>
  <c r="S179" i="6" s="1"/>
  <c r="S180" i="6" s="1"/>
  <c r="S181" i="6" s="1"/>
  <c r="S182" i="6" s="1"/>
  <c r="S183" i="6" s="1"/>
  <c r="S184" i="6" s="1"/>
  <c r="S185" i="6" s="1"/>
  <c r="S186" i="6" s="1"/>
  <c r="V176" i="6" s="1"/>
  <c r="V177" i="6" s="1"/>
  <c r="V178" i="6" s="1"/>
  <c r="V179" i="6" s="1"/>
  <c r="V180" i="6" s="1"/>
  <c r="V181" i="6" s="1"/>
  <c r="V182" i="6" s="1"/>
  <c r="V183" i="6" s="1"/>
  <c r="V184" i="6" s="1"/>
  <c r="V185" i="6" s="1"/>
  <c r="V186" i="6" s="1"/>
  <c r="D188" i="6" s="1"/>
  <c r="D189" i="6" s="1"/>
  <c r="D190" i="6" s="1"/>
  <c r="D191" i="6" s="1"/>
  <c r="D192" i="6" s="1"/>
  <c r="D193" i="6" s="1"/>
  <c r="D194" i="6" s="1"/>
  <c r="D195" i="6" s="1"/>
  <c r="D196" i="6" s="1"/>
  <c r="D197" i="6" s="1"/>
  <c r="D198" i="6" s="1"/>
  <c r="G188" i="6" s="1"/>
  <c r="G189" i="6" s="1"/>
  <c r="G190" i="6" s="1"/>
  <c r="G191" i="6" s="1"/>
  <c r="G192" i="6" s="1"/>
  <c r="G193" i="6" s="1"/>
  <c r="G194" i="6" s="1"/>
  <c r="G195" i="6" s="1"/>
  <c r="G196" i="6" s="1"/>
  <c r="G197" i="6" s="1"/>
  <c r="G198" i="6" s="1"/>
  <c r="J188" i="6" s="1"/>
  <c r="J189" i="6" s="1"/>
  <c r="J190" i="6" s="1"/>
  <c r="J191" i="6" s="1"/>
  <c r="J192" i="6" s="1"/>
  <c r="J193" i="6" s="1"/>
  <c r="J194" i="6" s="1"/>
  <c r="J195" i="6" s="1"/>
  <c r="J196" i="6" s="1"/>
  <c r="J197" i="6" s="1"/>
  <c r="J198" i="6" s="1"/>
  <c r="M188" i="6" s="1"/>
  <c r="M189" i="6" s="1"/>
  <c r="M190" i="6" s="1"/>
  <c r="M191" i="6" s="1"/>
  <c r="M192" i="6" s="1"/>
  <c r="M193" i="6" s="1"/>
  <c r="M194" i="6" s="1"/>
  <c r="M195" i="6" s="1"/>
  <c r="M196" i="6" s="1"/>
  <c r="M197" i="6" s="1"/>
  <c r="M198" i="6" s="1"/>
  <c r="P188" i="6" s="1"/>
  <c r="P189" i="6" s="1"/>
  <c r="P190" i="6" s="1"/>
  <c r="P191" i="6" s="1"/>
  <c r="P192" i="6" s="1"/>
  <c r="P193" i="6" s="1"/>
  <c r="P194" i="6" s="1"/>
  <c r="P195" i="6" s="1"/>
  <c r="P196" i="6" s="1"/>
  <c r="P197" i="6" s="1"/>
  <c r="P198" i="6" s="1"/>
  <c r="S188" i="6" s="1"/>
  <c r="S189" i="6" s="1"/>
  <c r="S190" i="6" s="1"/>
  <c r="S191" i="6" s="1"/>
  <c r="S192" i="6" s="1"/>
  <c r="S193" i="6" s="1"/>
  <c r="S194" i="6" s="1"/>
  <c r="S195" i="6" s="1"/>
  <c r="S196" i="6" s="1"/>
  <c r="S197" i="6" s="1"/>
  <c r="S198" i="6" s="1"/>
  <c r="V188" i="6" s="1"/>
  <c r="V189" i="6" s="1"/>
  <c r="V190" i="6" s="1"/>
  <c r="V191" i="6" s="1"/>
  <c r="V192" i="6" s="1"/>
  <c r="V193" i="6" s="1"/>
  <c r="V194" i="6" s="1"/>
  <c r="V195" i="6" s="1"/>
  <c r="V196" i="6" s="1"/>
  <c r="V197" i="6" s="1"/>
  <c r="V198" i="6" s="1"/>
  <c r="D200" i="6" s="1"/>
  <c r="D201" i="6" s="1"/>
  <c r="D202" i="6" s="1"/>
  <c r="D203" i="6" s="1"/>
  <c r="D204" i="6" s="1"/>
  <c r="D205" i="6" s="1"/>
  <c r="D206" i="6" s="1"/>
  <c r="D207" i="6" s="1"/>
  <c r="D208" i="6" s="1"/>
  <c r="D209" i="6" s="1"/>
  <c r="D210" i="6" s="1"/>
  <c r="G200" i="6" s="1"/>
  <c r="G201" i="6" s="1"/>
  <c r="G202" i="6" s="1"/>
  <c r="G203" i="6" s="1"/>
  <c r="G204" i="6" s="1"/>
  <c r="G205" i="6" s="1"/>
  <c r="G206" i="6" s="1"/>
  <c r="G207" i="6" s="1"/>
  <c r="G208" i="6" s="1"/>
  <c r="G209" i="6" s="1"/>
  <c r="G210" i="6" s="1"/>
  <c r="J200" i="6" s="1"/>
  <c r="J201" i="6" s="1"/>
  <c r="J202" i="6" s="1"/>
  <c r="J203" i="6" s="1"/>
  <c r="J204" i="6" s="1"/>
  <c r="J205" i="6" s="1"/>
  <c r="J206" i="6" s="1"/>
  <c r="J207" i="6" s="1"/>
  <c r="J208" i="6" s="1"/>
  <c r="J209" i="6" s="1"/>
  <c r="J210" i="6" s="1"/>
  <c r="M200" i="6" s="1"/>
  <c r="M201" i="6" s="1"/>
  <c r="M202" i="6" s="1"/>
  <c r="M203" i="6" s="1"/>
  <c r="M204" i="6" s="1"/>
  <c r="M205" i="6" s="1"/>
  <c r="M206" i="6" s="1"/>
  <c r="M207" i="6" s="1"/>
  <c r="M208" i="6" s="1"/>
  <c r="M209" i="6" s="1"/>
  <c r="M210" i="6" s="1"/>
  <c r="P200" i="6" s="1"/>
  <c r="P201" i="6" s="1"/>
  <c r="P202" i="6" s="1"/>
  <c r="P203" i="6" s="1"/>
  <c r="P204" i="6" s="1"/>
  <c r="P205" i="6" s="1"/>
  <c r="P206" i="6" s="1"/>
  <c r="P207" i="6" s="1"/>
  <c r="P208" i="6" s="1"/>
  <c r="P209" i="6" s="1"/>
  <c r="P210" i="6" s="1"/>
  <c r="S200" i="6" s="1"/>
  <c r="S201" i="6" s="1"/>
  <c r="S202" i="6" s="1"/>
  <c r="S203" i="6" s="1"/>
  <c r="S204" i="6" s="1"/>
  <c r="S205" i="6" s="1"/>
  <c r="S206" i="6" s="1"/>
  <c r="S207" i="6" s="1"/>
  <c r="S208" i="6" s="1"/>
  <c r="S209" i="6" s="1"/>
  <c r="S210" i="6" s="1"/>
  <c r="V200" i="6" s="1"/>
  <c r="V201" i="6" s="1"/>
  <c r="V202" i="6" s="1"/>
  <c r="V203" i="6" s="1"/>
  <c r="V204" i="6" s="1"/>
  <c r="V205" i="6" s="1"/>
  <c r="V206" i="6" s="1"/>
  <c r="V207" i="6" s="1"/>
  <c r="V208" i="6" s="1"/>
  <c r="V209" i="6" s="1"/>
  <c r="V210" i="6" s="1"/>
  <c r="D212" i="6" s="1"/>
  <c r="D213" i="6" s="1"/>
  <c r="D214" i="6" s="1"/>
  <c r="D215" i="6" s="1"/>
  <c r="D216" i="6" s="1"/>
  <c r="D217" i="6" s="1"/>
  <c r="D218" i="6" s="1"/>
  <c r="D219" i="6" s="1"/>
  <c r="D220" i="6" s="1"/>
  <c r="D221" i="6" s="1"/>
  <c r="D222" i="6" s="1"/>
  <c r="G212" i="6" s="1"/>
  <c r="G213" i="6" s="1"/>
  <c r="G214" i="6" s="1"/>
  <c r="G215" i="6" s="1"/>
  <c r="G216" i="6" s="1"/>
  <c r="G217" i="6" s="1"/>
  <c r="G218" i="6" s="1"/>
  <c r="G219" i="6" s="1"/>
  <c r="G220" i="6" s="1"/>
  <c r="G221" i="6" s="1"/>
  <c r="G222" i="6" s="1"/>
  <c r="J212" i="6" s="1"/>
  <c r="J213" i="6" s="1"/>
  <c r="J214" i="6" s="1"/>
  <c r="J215" i="6" s="1"/>
  <c r="J216" i="6" s="1"/>
  <c r="J217" i="6" s="1"/>
  <c r="J218" i="6" s="1"/>
  <c r="J219" i="6" s="1"/>
  <c r="J220" i="6" s="1"/>
  <c r="J221" i="6" s="1"/>
  <c r="J222" i="6" s="1"/>
  <c r="M212" i="6" s="1"/>
  <c r="M213" i="6" s="1"/>
  <c r="M214" i="6" s="1"/>
  <c r="M215" i="6" s="1"/>
  <c r="M216" i="6" s="1"/>
  <c r="M217" i="6" s="1"/>
  <c r="M218" i="6" s="1"/>
  <c r="M219" i="6" s="1"/>
  <c r="M220" i="6" s="1"/>
  <c r="M221" i="6" s="1"/>
  <c r="M222" i="6" s="1"/>
  <c r="P212" i="6" s="1"/>
  <c r="P213" i="6" s="1"/>
  <c r="P214" i="6" s="1"/>
  <c r="P215" i="6" s="1"/>
  <c r="P216" i="6" s="1"/>
  <c r="P217" i="6" s="1"/>
  <c r="P218" i="6" s="1"/>
  <c r="P219" i="6" s="1"/>
  <c r="P220" i="6" s="1"/>
  <c r="P221" i="6" s="1"/>
  <c r="P222" i="6" s="1"/>
  <c r="S212" i="6" s="1"/>
  <c r="S213" i="6" s="1"/>
  <c r="S214" i="6" s="1"/>
  <c r="S215" i="6" s="1"/>
  <c r="S216" i="6" s="1"/>
  <c r="S217" i="6" s="1"/>
  <c r="S218" i="6" s="1"/>
  <c r="S219" i="6" s="1"/>
  <c r="S220" i="6" s="1"/>
  <c r="S221" i="6" s="1"/>
  <c r="S222" i="6" s="1"/>
  <c r="V212" i="6" s="1"/>
  <c r="V213" i="6" s="1"/>
  <c r="V214" i="6" s="1"/>
  <c r="V215" i="6" s="1"/>
  <c r="V216" i="6" s="1"/>
  <c r="V217" i="6" s="1"/>
  <c r="V218" i="6" s="1"/>
  <c r="V219" i="6" s="1"/>
  <c r="V220" i="6" s="1"/>
  <c r="V221" i="6" s="1"/>
  <c r="V222" i="6" s="1"/>
  <c r="D224" i="6" s="1"/>
  <c r="D225" i="6" s="1"/>
  <c r="D226" i="6" s="1"/>
  <c r="D227" i="6" s="1"/>
  <c r="D228" i="6" s="1"/>
  <c r="D229" i="6" s="1"/>
  <c r="D230" i="6" s="1"/>
  <c r="D231" i="6" s="1"/>
  <c r="D232" i="6" s="1"/>
  <c r="D233" i="6" s="1"/>
  <c r="D234" i="6" s="1"/>
  <c r="G224" i="6" s="1"/>
  <c r="G225" i="6" s="1"/>
  <c r="G226" i="6" s="1"/>
  <c r="G227" i="6" s="1"/>
  <c r="G228" i="6" s="1"/>
  <c r="G229" i="6" s="1"/>
  <c r="G230" i="6" s="1"/>
  <c r="G231" i="6" s="1"/>
  <c r="G232" i="6" s="1"/>
  <c r="G233" i="6" s="1"/>
  <c r="G234" i="6" s="1"/>
  <c r="J224" i="6" s="1"/>
  <c r="J225" i="6" s="1"/>
  <c r="J226" i="6" s="1"/>
  <c r="J227" i="6" s="1"/>
  <c r="J228" i="6" s="1"/>
  <c r="J229" i="6" s="1"/>
  <c r="J230" i="6" s="1"/>
  <c r="J231" i="6" s="1"/>
  <c r="J232" i="6" s="1"/>
  <c r="J233" i="6" s="1"/>
  <c r="J234" i="6" s="1"/>
  <c r="M224" i="6" s="1"/>
  <c r="M225" i="6" s="1"/>
  <c r="M226" i="6" s="1"/>
  <c r="M227" i="6" s="1"/>
  <c r="M228" i="6" s="1"/>
  <c r="M229" i="6" s="1"/>
  <c r="M230" i="6" s="1"/>
  <c r="M231" i="6" s="1"/>
  <c r="M232" i="6" s="1"/>
  <c r="M233" i="6" s="1"/>
  <c r="M234" i="6" s="1"/>
  <c r="P224" i="6" s="1"/>
  <c r="P225" i="6" s="1"/>
  <c r="P226" i="6" s="1"/>
  <c r="P227" i="6" s="1"/>
  <c r="P228" i="6" s="1"/>
  <c r="P229" i="6" s="1"/>
  <c r="P230" i="6" s="1"/>
  <c r="P231" i="6" s="1"/>
  <c r="P232" i="6" s="1"/>
  <c r="P233" i="6" s="1"/>
  <c r="P234" i="6" s="1"/>
  <c r="S224" i="6" s="1"/>
  <c r="S225" i="6" s="1"/>
  <c r="S226" i="6" s="1"/>
  <c r="S227" i="6" s="1"/>
  <c r="S228" i="6" s="1"/>
  <c r="S229" i="6" s="1"/>
  <c r="S230" i="6" s="1"/>
  <c r="S231" i="6" s="1"/>
  <c r="S232" i="6" s="1"/>
  <c r="S233" i="6" s="1"/>
  <c r="S234" i="6" s="1"/>
  <c r="V224" i="6" s="1"/>
  <c r="V225" i="6" s="1"/>
  <c r="V226" i="6" s="1"/>
  <c r="V227" i="6" s="1"/>
  <c r="V228" i="6" s="1"/>
  <c r="V229" i="6" s="1"/>
  <c r="V230" i="6" s="1"/>
  <c r="V231" i="6" s="1"/>
  <c r="V232" i="6" s="1"/>
  <c r="V233" i="6" s="1"/>
  <c r="V234" i="6" s="1"/>
  <c r="D236" i="6" s="1"/>
  <c r="D237" i="6" s="1"/>
  <c r="D238" i="6" s="1"/>
  <c r="D239" i="6" s="1"/>
  <c r="D240" i="6" s="1"/>
  <c r="D241" i="6" s="1"/>
  <c r="D242" i="6" s="1"/>
  <c r="D243" i="6" s="1"/>
  <c r="D244" i="6" s="1"/>
  <c r="D245" i="6" s="1"/>
  <c r="D246" i="6" s="1"/>
  <c r="G236" i="6" s="1"/>
  <c r="G237" i="6" s="1"/>
  <c r="G238" i="6" s="1"/>
  <c r="G239" i="6" s="1"/>
  <c r="G240" i="6" s="1"/>
  <c r="G241" i="6" s="1"/>
  <c r="G242" i="6" s="1"/>
  <c r="G243" i="6" s="1"/>
  <c r="G244" i="6" s="1"/>
  <c r="G245" i="6" s="1"/>
  <c r="G246" i="6" s="1"/>
  <c r="J236" i="6" s="1"/>
  <c r="J237" i="6" s="1"/>
  <c r="J238" i="6" s="1"/>
  <c r="J239" i="6" s="1"/>
  <c r="J240" i="6" s="1"/>
  <c r="J241" i="6" s="1"/>
  <c r="J242" i="6" s="1"/>
  <c r="J243" i="6" s="1"/>
  <c r="J244" i="6" s="1"/>
  <c r="J245" i="6" s="1"/>
  <c r="J246" i="6" s="1"/>
  <c r="M236" i="6" s="1"/>
  <c r="M237" i="6" s="1"/>
  <c r="M238" i="6" s="1"/>
  <c r="M239" i="6" s="1"/>
  <c r="M240" i="6" s="1"/>
  <c r="M241" i="6" s="1"/>
  <c r="M242" i="6" s="1"/>
  <c r="M243" i="6" s="1"/>
  <c r="M244" i="6" s="1"/>
  <c r="M245" i="6" s="1"/>
  <c r="M246" i="6" s="1"/>
  <c r="P236" i="6" s="1"/>
  <c r="P237" i="6" s="1"/>
  <c r="P238" i="6" s="1"/>
  <c r="P239" i="6" s="1"/>
  <c r="P240" i="6" s="1"/>
  <c r="P241" i="6" s="1"/>
  <c r="P242" i="6" s="1"/>
  <c r="P243" i="6" s="1"/>
  <c r="P244" i="6" s="1"/>
  <c r="P245" i="6" s="1"/>
  <c r="P246" i="6" s="1"/>
  <c r="S236" i="6" s="1"/>
  <c r="S237" i="6" s="1"/>
  <c r="S238" i="6" s="1"/>
  <c r="S239" i="6" s="1"/>
  <c r="S240" i="6" s="1"/>
  <c r="S241" i="6" s="1"/>
  <c r="S242" i="6" s="1"/>
  <c r="S243" i="6" s="1"/>
  <c r="S244" i="6" s="1"/>
  <c r="S245" i="6" s="1"/>
  <c r="S246" i="6" s="1"/>
  <c r="V236" i="6" s="1"/>
  <c r="V237" i="6" s="1"/>
  <c r="V238" i="6" s="1"/>
  <c r="V239" i="6" s="1"/>
  <c r="V240" i="6" s="1"/>
  <c r="V241" i="6" s="1"/>
  <c r="V242" i="6" s="1"/>
  <c r="V243" i="6" s="1"/>
  <c r="V244" i="6" s="1"/>
  <c r="V245" i="6" s="1"/>
  <c r="V246" i="6" s="1"/>
  <c r="D248" i="6" s="1"/>
  <c r="D249" i="6" s="1"/>
  <c r="D250" i="6" s="1"/>
  <c r="D251" i="6" s="1"/>
  <c r="D252" i="6" s="1"/>
  <c r="D253" i="6" s="1"/>
  <c r="D254" i="6" s="1"/>
  <c r="D255" i="6" s="1"/>
  <c r="D256" i="6" s="1"/>
  <c r="D257" i="6" s="1"/>
  <c r="D258" i="6" s="1"/>
  <c r="G248" i="6" s="1"/>
  <c r="G249" i="6" s="1"/>
  <c r="G250" i="6" s="1"/>
  <c r="G251" i="6" s="1"/>
  <c r="G252" i="6" s="1"/>
  <c r="G253" i="6" s="1"/>
  <c r="G254" i="6" s="1"/>
  <c r="G255" i="6" s="1"/>
  <c r="G256" i="6" s="1"/>
  <c r="G257" i="6" s="1"/>
  <c r="G258" i="6" s="1"/>
  <c r="J248" i="6" s="1"/>
  <c r="J249" i="6" s="1"/>
  <c r="J250" i="6" s="1"/>
  <c r="J251" i="6" s="1"/>
  <c r="J252" i="6" s="1"/>
  <c r="J253" i="6" s="1"/>
  <c r="J254" i="6" s="1"/>
  <c r="J255" i="6" s="1"/>
  <c r="J256" i="6" s="1"/>
  <c r="J257" i="6" s="1"/>
  <c r="J258" i="6" s="1"/>
  <c r="M248" i="6" s="1"/>
  <c r="M249" i="6" s="1"/>
  <c r="M250" i="6" s="1"/>
  <c r="M251" i="6" s="1"/>
  <c r="M252" i="6" s="1"/>
  <c r="M253" i="6" s="1"/>
  <c r="M254" i="6" s="1"/>
  <c r="M255" i="6" s="1"/>
  <c r="M256" i="6" s="1"/>
  <c r="M257" i="6" s="1"/>
  <c r="M258" i="6" s="1"/>
  <c r="P248" i="6" s="1"/>
  <c r="P249" i="6" s="1"/>
  <c r="P250" i="6" s="1"/>
  <c r="P251" i="6" s="1"/>
  <c r="P252" i="6" s="1"/>
  <c r="P253" i="6" s="1"/>
  <c r="P254" i="6" s="1"/>
  <c r="P255" i="6" s="1"/>
  <c r="P256" i="6" s="1"/>
  <c r="P257" i="6" s="1"/>
  <c r="P258" i="6" s="1"/>
  <c r="S248" i="6" s="1"/>
  <c r="S249" i="6" s="1"/>
  <c r="S250" i="6" s="1"/>
  <c r="S251" i="6" s="1"/>
  <c r="S252" i="6" s="1"/>
  <c r="S253" i="6" s="1"/>
  <c r="S254" i="6" s="1"/>
  <c r="S255" i="6" s="1"/>
  <c r="S256" i="6" s="1"/>
  <c r="S257" i="6" s="1"/>
  <c r="S258" i="6" s="1"/>
  <c r="V248" i="6" s="1"/>
  <c r="V249" i="6" s="1"/>
  <c r="V250" i="6" s="1"/>
  <c r="V251" i="6" s="1"/>
  <c r="V252" i="6" s="1"/>
  <c r="V253" i="6" s="1"/>
  <c r="V254" i="6" s="1"/>
  <c r="V255" i="6" s="1"/>
  <c r="V256" i="6" s="1"/>
  <c r="V257" i="6" s="1"/>
  <c r="V258" i="6" s="1"/>
  <c r="D260" i="6" s="1"/>
  <c r="D261" i="6" s="1"/>
  <c r="D262" i="6" s="1"/>
  <c r="D263" i="6" s="1"/>
  <c r="D264" i="6" s="1"/>
  <c r="D265" i="6" s="1"/>
  <c r="D266" i="6" s="1"/>
  <c r="D267" i="6" s="1"/>
  <c r="D268" i="6" s="1"/>
  <c r="D269" i="6" s="1"/>
  <c r="D270" i="6" s="1"/>
  <c r="G260" i="6" s="1"/>
  <c r="G261" i="6" s="1"/>
  <c r="G262" i="6" s="1"/>
  <c r="G263" i="6" s="1"/>
  <c r="G264" i="6" s="1"/>
  <c r="G265" i="6" s="1"/>
  <c r="G266" i="6" s="1"/>
  <c r="G267" i="6" s="1"/>
  <c r="G268" i="6" s="1"/>
  <c r="G269" i="6" s="1"/>
  <c r="G270" i="6" s="1"/>
  <c r="J260" i="6" s="1"/>
  <c r="J261" i="6" s="1"/>
  <c r="J262" i="6" s="1"/>
  <c r="J263" i="6" s="1"/>
  <c r="J264" i="6" s="1"/>
  <c r="J265" i="6" s="1"/>
  <c r="J266" i="6" s="1"/>
  <c r="J267" i="6" s="1"/>
  <c r="J268" i="6" s="1"/>
  <c r="J269" i="6" s="1"/>
  <c r="J270" i="6" s="1"/>
  <c r="M260" i="6" s="1"/>
  <c r="M261" i="6" s="1"/>
  <c r="M262" i="6" s="1"/>
  <c r="M263" i="6" s="1"/>
  <c r="M264" i="6" s="1"/>
  <c r="M265" i="6" s="1"/>
  <c r="M266" i="6" s="1"/>
  <c r="M267" i="6" s="1"/>
  <c r="M268" i="6" s="1"/>
  <c r="M269" i="6" s="1"/>
  <c r="M270" i="6" s="1"/>
  <c r="P260" i="6" s="1"/>
  <c r="P261" i="6" s="1"/>
  <c r="P262" i="6" s="1"/>
  <c r="P263" i="6" s="1"/>
  <c r="P264" i="6" s="1"/>
  <c r="P265" i="6" s="1"/>
  <c r="P266" i="6" s="1"/>
  <c r="P267" i="6" s="1"/>
  <c r="P268" i="6" s="1"/>
  <c r="P269" i="6" s="1"/>
  <c r="P270" i="6" s="1"/>
  <c r="S260" i="6" s="1"/>
  <c r="S261" i="6" s="1"/>
  <c r="S262" i="6" s="1"/>
  <c r="S263" i="6" s="1"/>
  <c r="S264" i="6" s="1"/>
  <c r="S265" i="6" s="1"/>
  <c r="S266" i="6" s="1"/>
  <c r="S267" i="6" s="1"/>
  <c r="S268" i="6" s="1"/>
  <c r="S269" i="6" s="1"/>
  <c r="S270" i="6" s="1"/>
  <c r="V260" i="6" s="1"/>
  <c r="V261" i="6" s="1"/>
  <c r="V262" i="6" s="1"/>
  <c r="V263" i="6" s="1"/>
  <c r="V264" i="6" s="1"/>
  <c r="V265" i="6" s="1"/>
  <c r="V266" i="6" s="1"/>
  <c r="V267" i="6" s="1"/>
  <c r="V268" i="6" s="1"/>
  <c r="V269" i="6" s="1"/>
  <c r="V270" i="6" s="1"/>
  <c r="D272" i="6" s="1"/>
  <c r="D273" i="6" s="1"/>
  <c r="D274" i="6" s="1"/>
  <c r="D275" i="6" s="1"/>
  <c r="D276" i="6" s="1"/>
  <c r="D277" i="6" s="1"/>
  <c r="D278" i="6" s="1"/>
  <c r="D279" i="6" s="1"/>
  <c r="D280" i="6" s="1"/>
  <c r="D281" i="6" s="1"/>
  <c r="D282" i="6" s="1"/>
  <c r="G272" i="6" s="1"/>
  <c r="G273" i="6" s="1"/>
  <c r="G274" i="6" s="1"/>
  <c r="G275" i="6" s="1"/>
  <c r="G276" i="6" s="1"/>
  <c r="G277" i="6" s="1"/>
  <c r="G278" i="6" s="1"/>
  <c r="G279" i="6" s="1"/>
  <c r="G280" i="6" s="1"/>
  <c r="G281" i="6" s="1"/>
  <c r="G282" i="6" s="1"/>
  <c r="J272" i="6" s="1"/>
  <c r="J273" i="6" s="1"/>
  <c r="J274" i="6" s="1"/>
  <c r="J275" i="6" s="1"/>
  <c r="J276" i="6" s="1"/>
  <c r="J277" i="6" s="1"/>
  <c r="J278" i="6" s="1"/>
  <c r="J279" i="6" s="1"/>
  <c r="J280" i="6" s="1"/>
  <c r="J281" i="6" s="1"/>
  <c r="J282" i="6" s="1"/>
  <c r="M272" i="6" s="1"/>
  <c r="M273" i="6" s="1"/>
  <c r="M274" i="6" s="1"/>
  <c r="M275" i="6" s="1"/>
  <c r="M276" i="6" s="1"/>
  <c r="M277" i="6" s="1"/>
  <c r="M278" i="6" s="1"/>
  <c r="M279" i="6" s="1"/>
  <c r="M280" i="6" s="1"/>
  <c r="M281" i="6" s="1"/>
  <c r="M282" i="6" s="1"/>
  <c r="P272" i="6" s="1"/>
  <c r="P273" i="6" s="1"/>
  <c r="P274" i="6" s="1"/>
  <c r="P275" i="6" s="1"/>
  <c r="P276" i="6" s="1"/>
  <c r="P277" i="6" s="1"/>
  <c r="P278" i="6" s="1"/>
  <c r="P279" i="6" s="1"/>
  <c r="P280" i="6" s="1"/>
  <c r="P281" i="6" s="1"/>
  <c r="P282" i="6" s="1"/>
  <c r="S272" i="6" s="1"/>
  <c r="S273" i="6" s="1"/>
  <c r="S274" i="6" s="1"/>
  <c r="S275" i="6" s="1"/>
  <c r="S276" i="6" s="1"/>
  <c r="S277" i="6" s="1"/>
  <c r="S278" i="6" s="1"/>
  <c r="S279" i="6" s="1"/>
  <c r="S280" i="6" s="1"/>
  <c r="S281" i="6" s="1"/>
  <c r="S282" i="6" s="1"/>
  <c r="V272" i="6" s="1"/>
  <c r="V273" i="6" s="1"/>
  <c r="V274" i="6" s="1"/>
  <c r="V275" i="6" s="1"/>
  <c r="V276" i="6" s="1"/>
  <c r="V277" i="6" s="1"/>
  <c r="V278" i="6" s="1"/>
  <c r="V279" i="6" s="1"/>
  <c r="V280" i="6" s="1"/>
  <c r="V281" i="6" s="1"/>
  <c r="V282" i="6" s="1"/>
  <c r="D284" i="6" s="1"/>
  <c r="D285" i="6" s="1"/>
  <c r="D286" i="6" s="1"/>
  <c r="D287" i="6" s="1"/>
  <c r="D288" i="6" s="1"/>
  <c r="D289" i="6" s="1"/>
  <c r="D290" i="6" s="1"/>
  <c r="D291" i="6" s="1"/>
  <c r="D292" i="6" s="1"/>
  <c r="D293" i="6" s="1"/>
  <c r="D294" i="6" s="1"/>
  <c r="G284" i="6" s="1"/>
  <c r="G285" i="6" s="1"/>
  <c r="G286" i="6" s="1"/>
  <c r="G287" i="6" s="1"/>
  <c r="G288" i="6" s="1"/>
  <c r="G289" i="6" s="1"/>
  <c r="G290" i="6" s="1"/>
  <c r="G291" i="6" s="1"/>
  <c r="G292" i="6" s="1"/>
  <c r="G293" i="6" s="1"/>
  <c r="G294" i="6" s="1"/>
  <c r="J284" i="6" s="1"/>
  <c r="J285" i="6" s="1"/>
  <c r="J286" i="6" s="1"/>
  <c r="J287" i="6" s="1"/>
  <c r="J288" i="6" s="1"/>
  <c r="J289" i="6" s="1"/>
  <c r="J290" i="6" s="1"/>
  <c r="J291" i="6" s="1"/>
  <c r="J292" i="6" s="1"/>
  <c r="J293" i="6" s="1"/>
  <c r="J294" i="6" s="1"/>
  <c r="M284" i="6" s="1"/>
  <c r="M285" i="6" s="1"/>
  <c r="M286" i="6" s="1"/>
  <c r="M287" i="6" s="1"/>
  <c r="M288" i="6" s="1"/>
  <c r="M289" i="6" s="1"/>
  <c r="M290" i="6" s="1"/>
  <c r="M291" i="6" s="1"/>
  <c r="M292" i="6" s="1"/>
  <c r="M293" i="6" s="1"/>
  <c r="M294" i="6" s="1"/>
  <c r="P284" i="6" s="1"/>
  <c r="P285" i="6" s="1"/>
  <c r="P286" i="6" s="1"/>
  <c r="P287" i="6" s="1"/>
  <c r="P288" i="6" s="1"/>
  <c r="P289" i="6" s="1"/>
  <c r="P290" i="6" s="1"/>
  <c r="P291" i="6" s="1"/>
  <c r="P292" i="6" s="1"/>
  <c r="P293" i="6" s="1"/>
  <c r="P294" i="6" s="1"/>
  <c r="S284" i="6" s="1"/>
  <c r="S285" i="6" s="1"/>
  <c r="S286" i="6" s="1"/>
  <c r="S287" i="6" s="1"/>
  <c r="S288" i="6" s="1"/>
  <c r="S289" i="6" s="1"/>
  <c r="S290" i="6" s="1"/>
  <c r="S291" i="6" s="1"/>
  <c r="S292" i="6" s="1"/>
  <c r="S293" i="6" s="1"/>
  <c r="S294" i="6" s="1"/>
  <c r="V284" i="6" s="1"/>
  <c r="V285" i="6" s="1"/>
  <c r="V286" i="6" s="1"/>
  <c r="V287" i="6" s="1"/>
  <c r="V288" i="6" s="1"/>
  <c r="V289" i="6" s="1"/>
  <c r="V290" i="6" s="1"/>
  <c r="V291" i="6" s="1"/>
  <c r="V292" i="6" s="1"/>
  <c r="V293" i="6" s="1"/>
  <c r="V294" i="6" s="1"/>
  <c r="D296" i="6" s="1"/>
  <c r="D297" i="6" s="1"/>
  <c r="D298" i="6" s="1"/>
  <c r="D299" i="6" s="1"/>
  <c r="D300" i="6" s="1"/>
  <c r="D301" i="6" s="1"/>
  <c r="D302" i="6" s="1"/>
  <c r="D303" i="6" s="1"/>
  <c r="D304" i="6" s="1"/>
  <c r="D305" i="6" s="1"/>
  <c r="D306" i="6" s="1"/>
  <c r="G296" i="6" s="1"/>
  <c r="G297" i="6" s="1"/>
  <c r="G298" i="6" s="1"/>
  <c r="G299" i="6" s="1"/>
  <c r="G300" i="6" s="1"/>
  <c r="G301" i="6" s="1"/>
  <c r="G302" i="6" s="1"/>
  <c r="G303" i="6" s="1"/>
  <c r="G304" i="6" s="1"/>
  <c r="G305" i="6" s="1"/>
  <c r="G306" i="6" s="1"/>
  <c r="J296" i="6" s="1"/>
  <c r="J297" i="6" s="1"/>
  <c r="J298" i="6" s="1"/>
  <c r="J299" i="6" s="1"/>
  <c r="J300" i="6" s="1"/>
  <c r="J301" i="6" s="1"/>
  <c r="J302" i="6" s="1"/>
  <c r="J303" i="6" s="1"/>
  <c r="J304" i="6" s="1"/>
  <c r="J305" i="6" s="1"/>
  <c r="J306" i="6" s="1"/>
  <c r="M296" i="6" s="1"/>
  <c r="M297" i="6" s="1"/>
  <c r="M298" i="6" s="1"/>
  <c r="M299" i="6" s="1"/>
  <c r="M300" i="6" s="1"/>
  <c r="M301" i="6" s="1"/>
  <c r="M302" i="6" s="1"/>
  <c r="M303" i="6" s="1"/>
  <c r="M304" i="6" s="1"/>
  <c r="M305" i="6" s="1"/>
  <c r="M306" i="6" s="1"/>
  <c r="P296" i="6" s="1"/>
  <c r="P297" i="6" s="1"/>
  <c r="P298" i="6" s="1"/>
  <c r="P299" i="6" s="1"/>
  <c r="P300" i="6" s="1"/>
  <c r="P301" i="6" s="1"/>
  <c r="P302" i="6" s="1"/>
  <c r="P303" i="6" s="1"/>
  <c r="P304" i="6" s="1"/>
  <c r="P305" i="6" s="1"/>
  <c r="P306" i="6" s="1"/>
  <c r="S296" i="6" s="1"/>
  <c r="S297" i="6" s="1"/>
  <c r="S298" i="6" s="1"/>
  <c r="S299" i="6" s="1"/>
  <c r="S300" i="6" s="1"/>
  <c r="S301" i="6" s="1"/>
  <c r="S302" i="6" s="1"/>
  <c r="S303" i="6" s="1"/>
  <c r="S304" i="6" s="1"/>
  <c r="S305" i="6" s="1"/>
  <c r="S306" i="6" s="1"/>
  <c r="V296" i="6" s="1"/>
  <c r="V297" i="6" s="1"/>
  <c r="V298" i="6" s="1"/>
  <c r="V299" i="6" s="1"/>
  <c r="V300" i="6" s="1"/>
  <c r="V301" i="6" s="1"/>
  <c r="V302" i="6" s="1"/>
  <c r="V303" i="6" s="1"/>
  <c r="V304" i="6" s="1"/>
  <c r="V305" i="6" s="1"/>
  <c r="V306" i="6" s="1"/>
  <c r="D308" i="6" s="1"/>
  <c r="D309" i="6" s="1"/>
  <c r="D310" i="6" s="1"/>
  <c r="D311" i="6" s="1"/>
  <c r="D312" i="6" s="1"/>
  <c r="D313" i="6" s="1"/>
  <c r="D314" i="6" s="1"/>
  <c r="D315" i="6" s="1"/>
  <c r="D316" i="6" s="1"/>
  <c r="D317" i="6" s="1"/>
  <c r="D318" i="6" s="1"/>
  <c r="G308" i="6" s="1"/>
  <c r="G309" i="6" s="1"/>
  <c r="G310" i="6" s="1"/>
  <c r="G311" i="6" s="1"/>
  <c r="G312" i="6" s="1"/>
  <c r="G313" i="6" s="1"/>
  <c r="G314" i="6" s="1"/>
  <c r="G315" i="6" s="1"/>
  <c r="G316" i="6" s="1"/>
  <c r="G317" i="6" s="1"/>
  <c r="G318" i="6" s="1"/>
  <c r="J308" i="6" s="1"/>
  <c r="J309" i="6" s="1"/>
  <c r="J310" i="6" s="1"/>
  <c r="J311" i="6" s="1"/>
  <c r="J312" i="6" s="1"/>
  <c r="J313" i="6" s="1"/>
  <c r="J314" i="6" s="1"/>
  <c r="J315" i="6" s="1"/>
  <c r="J316" i="6" s="1"/>
  <c r="J317" i="6" s="1"/>
  <c r="J318" i="6" s="1"/>
  <c r="M308" i="6" s="1"/>
  <c r="M309" i="6" s="1"/>
  <c r="M310" i="6" s="1"/>
  <c r="M311" i="6" s="1"/>
  <c r="M312" i="6" s="1"/>
  <c r="M313" i="6" s="1"/>
  <c r="M314" i="6" s="1"/>
  <c r="M315" i="6" s="1"/>
  <c r="M316" i="6" s="1"/>
  <c r="M317" i="6" s="1"/>
  <c r="M318" i="6" s="1"/>
  <c r="P308" i="6" s="1"/>
  <c r="P309" i="6" s="1"/>
  <c r="P310" i="6" s="1"/>
  <c r="P311" i="6" s="1"/>
  <c r="P312" i="6" s="1"/>
  <c r="P313" i="6" s="1"/>
  <c r="P314" i="6" s="1"/>
  <c r="P315" i="6" s="1"/>
  <c r="P316" i="6" s="1"/>
  <c r="P317" i="6" s="1"/>
  <c r="P318" i="6" s="1"/>
  <c r="S308" i="6" s="1"/>
  <c r="S309" i="6" s="1"/>
  <c r="S310" i="6" s="1"/>
  <c r="S311" i="6" s="1"/>
  <c r="S312" i="6" s="1"/>
  <c r="S313" i="6" s="1"/>
  <c r="S314" i="6" s="1"/>
  <c r="S315" i="6" s="1"/>
  <c r="S316" i="6" s="1"/>
  <c r="S317" i="6" s="1"/>
  <c r="S318" i="6" s="1"/>
  <c r="V308" i="6" s="1"/>
  <c r="V309" i="6" s="1"/>
  <c r="V310" i="6" s="1"/>
  <c r="V311" i="6" s="1"/>
  <c r="V312" i="6" s="1"/>
  <c r="V313" i="6" s="1"/>
  <c r="V314" i="6" s="1"/>
  <c r="V315" i="6" s="1"/>
  <c r="V316" i="6" s="1"/>
  <c r="V317" i="6" s="1"/>
  <c r="V318" i="6" s="1"/>
  <c r="D320" i="6" s="1"/>
  <c r="D321" i="6" s="1"/>
  <c r="D322" i="6" s="1"/>
  <c r="D323" i="6" s="1"/>
  <c r="D324" i="6" s="1"/>
  <c r="D325" i="6" s="1"/>
  <c r="D326" i="6" s="1"/>
  <c r="D327" i="6" s="1"/>
  <c r="D328" i="6" s="1"/>
  <c r="D329" i="6" s="1"/>
  <c r="D330" i="6" s="1"/>
  <c r="G320" i="6" s="1"/>
  <c r="G321" i="6" s="1"/>
  <c r="G322" i="6" s="1"/>
  <c r="G323" i="6" s="1"/>
  <c r="G324" i="6" s="1"/>
  <c r="G325" i="6" s="1"/>
  <c r="G326" i="6" s="1"/>
  <c r="G327" i="6" s="1"/>
  <c r="G328" i="6" s="1"/>
  <c r="G329" i="6" s="1"/>
  <c r="G330" i="6" s="1"/>
  <c r="J320" i="6" s="1"/>
  <c r="J321" i="6" s="1"/>
  <c r="J322" i="6" s="1"/>
  <c r="J323" i="6" s="1"/>
  <c r="J324" i="6" s="1"/>
  <c r="J325" i="6" s="1"/>
  <c r="J326" i="6" s="1"/>
  <c r="J327" i="6" s="1"/>
  <c r="J328" i="6" s="1"/>
  <c r="J329" i="6" s="1"/>
  <c r="J330" i="6" s="1"/>
  <c r="M320" i="6" s="1"/>
  <c r="M321" i="6" s="1"/>
  <c r="M322" i="6" s="1"/>
  <c r="M323" i="6" s="1"/>
  <c r="M324" i="6" s="1"/>
  <c r="M325" i="6" s="1"/>
  <c r="M326" i="6" s="1"/>
  <c r="M327" i="6" s="1"/>
  <c r="M328" i="6" s="1"/>
  <c r="M329" i="6" s="1"/>
  <c r="M330" i="6" s="1"/>
  <c r="P320" i="6" s="1"/>
  <c r="P321" i="6" s="1"/>
  <c r="P322" i="6" s="1"/>
  <c r="P323" i="6" s="1"/>
  <c r="P324" i="6" s="1"/>
  <c r="P325" i="6" s="1"/>
  <c r="P326" i="6" s="1"/>
  <c r="P327" i="6" s="1"/>
  <c r="P328" i="6" s="1"/>
  <c r="P329" i="6" s="1"/>
  <c r="P330" i="6" s="1"/>
  <c r="S320" i="6" s="1"/>
  <c r="S321" i="6" s="1"/>
  <c r="S322" i="6" s="1"/>
  <c r="S323" i="6" s="1"/>
  <c r="S324" i="6" s="1"/>
  <c r="S325" i="6" s="1"/>
  <c r="S326" i="6" s="1"/>
  <c r="S327" i="6" s="1"/>
  <c r="S328" i="6" s="1"/>
  <c r="S329" i="6" s="1"/>
  <c r="S330" i="6" s="1"/>
  <c r="V320" i="6" s="1"/>
  <c r="V321" i="6" s="1"/>
  <c r="V322" i="6" s="1"/>
  <c r="V323" i="6" s="1"/>
  <c r="V324" i="6" s="1"/>
  <c r="V325" i="6" s="1"/>
  <c r="V326" i="6" s="1"/>
  <c r="V327" i="6" s="1"/>
  <c r="V328" i="6" s="1"/>
  <c r="V329" i="6" s="1"/>
  <c r="V330" i="6" s="1"/>
  <c r="D332" i="6" s="1"/>
  <c r="D333" i="6" s="1"/>
  <c r="D334" i="6" s="1"/>
  <c r="D335" i="6" s="1"/>
  <c r="D336" i="6" s="1"/>
  <c r="D337" i="6" s="1"/>
  <c r="D338" i="6" s="1"/>
  <c r="D339" i="6" s="1"/>
  <c r="D340" i="6" s="1"/>
  <c r="D341" i="6" s="1"/>
  <c r="D342" i="6" s="1"/>
  <c r="G332" i="6" s="1"/>
  <c r="G333" i="6" s="1"/>
  <c r="G334" i="6" s="1"/>
  <c r="G335" i="6" s="1"/>
  <c r="G336" i="6" s="1"/>
  <c r="G337" i="6" s="1"/>
  <c r="G338" i="6" s="1"/>
  <c r="G339" i="6" s="1"/>
  <c r="G340" i="6" s="1"/>
  <c r="G341" i="6" s="1"/>
  <c r="G342" i="6" s="1"/>
  <c r="J332" i="6" s="1"/>
  <c r="J333" i="6" s="1"/>
  <c r="J334" i="6" s="1"/>
  <c r="J335" i="6" s="1"/>
  <c r="J336" i="6" s="1"/>
  <c r="J337" i="6" s="1"/>
  <c r="J338" i="6" s="1"/>
  <c r="J339" i="6" s="1"/>
  <c r="J340" i="6" s="1"/>
  <c r="J341" i="6" s="1"/>
  <c r="J342" i="6" s="1"/>
  <c r="M332" i="6" s="1"/>
  <c r="M333" i="6" s="1"/>
  <c r="M334" i="6" s="1"/>
  <c r="M335" i="6" s="1"/>
  <c r="M336" i="6" s="1"/>
  <c r="M337" i="6" s="1"/>
  <c r="M338" i="6" s="1"/>
  <c r="M339" i="6" s="1"/>
  <c r="M340" i="6" s="1"/>
  <c r="M341" i="6" s="1"/>
  <c r="M342" i="6" s="1"/>
  <c r="P332" i="6" s="1"/>
  <c r="P333" i="6" s="1"/>
  <c r="P334" i="6" s="1"/>
  <c r="P335" i="6" s="1"/>
  <c r="P336" i="6" s="1"/>
  <c r="P337" i="6" s="1"/>
  <c r="P338" i="6" s="1"/>
  <c r="P339" i="6" s="1"/>
  <c r="P340" i="6" s="1"/>
  <c r="P341" i="6" s="1"/>
  <c r="P342" i="6" s="1"/>
  <c r="S332" i="6" s="1"/>
  <c r="S333" i="6" s="1"/>
  <c r="S334" i="6" s="1"/>
  <c r="S335" i="6" s="1"/>
  <c r="S336" i="6" s="1"/>
  <c r="S337" i="6" s="1"/>
  <c r="S338" i="6" s="1"/>
  <c r="S339" i="6" s="1"/>
  <c r="S340" i="6" s="1"/>
  <c r="S341" i="6" s="1"/>
  <c r="S342" i="6" s="1"/>
  <c r="V332" i="6" s="1"/>
  <c r="V333" i="6" s="1"/>
  <c r="V334" i="6" s="1"/>
  <c r="V335" i="6" s="1"/>
  <c r="V336" i="6" s="1"/>
  <c r="V337" i="6" s="1"/>
  <c r="V338" i="6" s="1"/>
  <c r="V339" i="6" s="1"/>
  <c r="V340" i="6" s="1"/>
  <c r="V341" i="6" s="1"/>
  <c r="V342" i="6" s="1"/>
  <c r="D344" i="6" s="1"/>
  <c r="D345" i="6" s="1"/>
  <c r="D346" i="6" s="1"/>
  <c r="D347" i="6" s="1"/>
  <c r="D348" i="6" s="1"/>
  <c r="D349" i="6" s="1"/>
  <c r="D350" i="6" s="1"/>
  <c r="D351" i="6" s="1"/>
  <c r="D352" i="6" s="1"/>
  <c r="D353" i="6" s="1"/>
  <c r="D354" i="6" s="1"/>
  <c r="G344" i="6" s="1"/>
  <c r="G345" i="6" s="1"/>
  <c r="G346" i="6" s="1"/>
  <c r="G347" i="6" s="1"/>
  <c r="G348" i="6" s="1"/>
  <c r="G349" i="6" s="1"/>
  <c r="G350" i="6" s="1"/>
  <c r="G351" i="6" s="1"/>
  <c r="G352" i="6" s="1"/>
  <c r="G353" i="6" s="1"/>
  <c r="G354" i="6" s="1"/>
  <c r="J344" i="6" s="1"/>
  <c r="J345" i="6" s="1"/>
  <c r="J346" i="6" s="1"/>
  <c r="J347" i="6" s="1"/>
  <c r="J348" i="6" s="1"/>
  <c r="J349" i="6" s="1"/>
  <c r="J350" i="6" s="1"/>
  <c r="J351" i="6" s="1"/>
  <c r="J352" i="6" s="1"/>
  <c r="J353" i="6" s="1"/>
  <c r="J354" i="6" s="1"/>
  <c r="M344" i="6" s="1"/>
  <c r="M345" i="6" s="1"/>
  <c r="M346" i="6" s="1"/>
  <c r="M347" i="6" s="1"/>
  <c r="M348" i="6" s="1"/>
  <c r="M349" i="6" s="1"/>
  <c r="M350" i="6" s="1"/>
  <c r="M351" i="6" s="1"/>
  <c r="M352" i="6" s="1"/>
  <c r="M353" i="6" s="1"/>
  <c r="M354" i="6" s="1"/>
  <c r="P344" i="6" s="1"/>
  <c r="P345" i="6" s="1"/>
  <c r="P346" i="6" s="1"/>
  <c r="P347" i="6" s="1"/>
  <c r="P348" i="6" s="1"/>
  <c r="P349" i="6" s="1"/>
  <c r="P350" i="6" s="1"/>
  <c r="P351" i="6" s="1"/>
  <c r="P352" i="6" s="1"/>
  <c r="P353" i="6" s="1"/>
  <c r="P354" i="6" s="1"/>
  <c r="S344" i="6" s="1"/>
  <c r="S345" i="6" s="1"/>
  <c r="S346" i="6" s="1"/>
  <c r="S347" i="6" s="1"/>
  <c r="S348" i="6" s="1"/>
  <c r="S349" i="6" s="1"/>
  <c r="S350" i="6" s="1"/>
  <c r="S351" i="6" s="1"/>
  <c r="S352" i="6" s="1"/>
  <c r="S353" i="6" s="1"/>
  <c r="S354" i="6" s="1"/>
  <c r="V344" i="6" s="1"/>
  <c r="V345" i="6" s="1"/>
  <c r="V346" i="6" s="1"/>
  <c r="V347" i="6" s="1"/>
  <c r="V348" i="6" s="1"/>
  <c r="V349" i="6" s="1"/>
  <c r="V350" i="6" s="1"/>
  <c r="V351" i="6" s="1"/>
  <c r="V352" i="6" s="1"/>
  <c r="V353" i="6" s="1"/>
  <c r="V354" i="6" s="1"/>
  <c r="D356" i="6" s="1"/>
  <c r="D357" i="6" s="1"/>
  <c r="D358" i="6" s="1"/>
  <c r="D359" i="6" s="1"/>
  <c r="D360" i="6" s="1"/>
  <c r="D361" i="6" s="1"/>
  <c r="D362" i="6" s="1"/>
  <c r="D363" i="6" s="1"/>
  <c r="D364" i="6" s="1"/>
  <c r="D365" i="6" s="1"/>
  <c r="D366" i="6" s="1"/>
  <c r="G356" i="6" s="1"/>
  <c r="G357" i="6" s="1"/>
  <c r="G358" i="6" s="1"/>
  <c r="G359" i="6" s="1"/>
  <c r="G360" i="6" s="1"/>
  <c r="G361" i="6" s="1"/>
  <c r="G362" i="6" s="1"/>
  <c r="G363" i="6" s="1"/>
  <c r="G364" i="6" s="1"/>
  <c r="G365" i="6" s="1"/>
  <c r="G366" i="6" s="1"/>
  <c r="J356" i="6" s="1"/>
  <c r="J357" i="6" s="1"/>
  <c r="J358" i="6" s="1"/>
  <c r="J359" i="6" s="1"/>
  <c r="J360" i="6" s="1"/>
  <c r="J361" i="6" s="1"/>
  <c r="J362" i="6" s="1"/>
  <c r="J363" i="6" s="1"/>
  <c r="J364" i="6" s="1"/>
  <c r="J365" i="6" s="1"/>
  <c r="J366" i="6" s="1"/>
  <c r="M356" i="6" s="1"/>
  <c r="M357" i="6" s="1"/>
  <c r="M358" i="6" s="1"/>
  <c r="M359" i="6" s="1"/>
  <c r="M360" i="6" s="1"/>
  <c r="M361" i="6" s="1"/>
  <c r="M362" i="6" s="1"/>
  <c r="M363" i="6" s="1"/>
  <c r="M364" i="6" s="1"/>
  <c r="M365" i="6" s="1"/>
  <c r="M366" i="6" s="1"/>
  <c r="P356" i="6" s="1"/>
  <c r="P357" i="6" s="1"/>
  <c r="P358" i="6" s="1"/>
  <c r="P359" i="6" s="1"/>
  <c r="P360" i="6" s="1"/>
  <c r="P361" i="6" s="1"/>
  <c r="P362" i="6" s="1"/>
  <c r="P363" i="6" s="1"/>
  <c r="P364" i="6" s="1"/>
  <c r="P365" i="6" s="1"/>
  <c r="P366" i="6" s="1"/>
  <c r="S356" i="6" s="1"/>
  <c r="S357" i="6" s="1"/>
  <c r="S358" i="6" s="1"/>
  <c r="S359" i="6" s="1"/>
  <c r="S360" i="6" s="1"/>
  <c r="S361" i="6" s="1"/>
  <c r="S362" i="6" s="1"/>
  <c r="S363" i="6" s="1"/>
  <c r="S364" i="6" s="1"/>
  <c r="S365" i="6" s="1"/>
  <c r="S366" i="6" s="1"/>
  <c r="V356" i="6" s="1"/>
  <c r="V357" i="6" s="1"/>
  <c r="V358" i="6" s="1"/>
  <c r="V359" i="6" s="1"/>
  <c r="V360" i="6" s="1"/>
  <c r="V361" i="6" s="1"/>
  <c r="V362" i="6" s="1"/>
  <c r="V363" i="6" s="1"/>
  <c r="V364" i="6" s="1"/>
  <c r="V365" i="6" s="1"/>
  <c r="V366" i="6" s="1"/>
  <c r="D368" i="6" s="1"/>
  <c r="D369" i="6" s="1"/>
  <c r="D370" i="6" s="1"/>
  <c r="D371" i="6" s="1"/>
  <c r="D372" i="6" s="1"/>
  <c r="D373" i="6" s="1"/>
  <c r="D374" i="6" s="1"/>
  <c r="D375" i="6" s="1"/>
  <c r="D376" i="6" s="1"/>
  <c r="D377" i="6" s="1"/>
  <c r="D378" i="6" s="1"/>
  <c r="G368" i="6" s="1"/>
  <c r="G369" i="6" s="1"/>
  <c r="G370" i="6" s="1"/>
  <c r="G371" i="6" s="1"/>
  <c r="G372" i="6" s="1"/>
  <c r="G373" i="6" s="1"/>
  <c r="G374" i="6" s="1"/>
  <c r="G375" i="6" s="1"/>
  <c r="G376" i="6" s="1"/>
  <c r="G377" i="6" s="1"/>
  <c r="G378" i="6" s="1"/>
  <c r="J368" i="6" s="1"/>
  <c r="J369" i="6" s="1"/>
  <c r="J370" i="6" s="1"/>
  <c r="J371" i="6" s="1"/>
  <c r="J372" i="6" s="1"/>
  <c r="J373" i="6" s="1"/>
  <c r="J374" i="6" s="1"/>
  <c r="J375" i="6" s="1"/>
  <c r="J376" i="6" s="1"/>
  <c r="J377" i="6" s="1"/>
  <c r="J378" i="6" s="1"/>
  <c r="M368" i="6" s="1"/>
  <c r="M369" i="6" s="1"/>
  <c r="M370" i="6" s="1"/>
  <c r="M371" i="6" s="1"/>
  <c r="M372" i="6" s="1"/>
  <c r="M373" i="6" s="1"/>
  <c r="M374" i="6" s="1"/>
  <c r="M375" i="6" s="1"/>
  <c r="M376" i="6" s="1"/>
  <c r="M377" i="6" s="1"/>
  <c r="M378" i="6" s="1"/>
  <c r="P368" i="6" s="1"/>
  <c r="P369" i="6" s="1"/>
  <c r="P370" i="6" s="1"/>
  <c r="P371" i="6" s="1"/>
  <c r="P372" i="6" s="1"/>
  <c r="P373" i="6" s="1"/>
  <c r="P374" i="6" s="1"/>
  <c r="P375" i="6" s="1"/>
  <c r="P376" i="6" s="1"/>
  <c r="P377" i="6" s="1"/>
  <c r="P378" i="6" s="1"/>
  <c r="S368" i="6" s="1"/>
  <c r="S369" i="6" s="1"/>
  <c r="S370" i="6" s="1"/>
  <c r="S371" i="6" s="1"/>
  <c r="S372" i="6" s="1"/>
  <c r="S373" i="6" s="1"/>
  <c r="S374" i="6" s="1"/>
  <c r="S375" i="6" s="1"/>
  <c r="S376" i="6" s="1"/>
  <c r="S377" i="6" s="1"/>
  <c r="S378" i="6" s="1"/>
  <c r="V368" i="6" s="1"/>
  <c r="V369" i="6" s="1"/>
  <c r="V370" i="6" s="1"/>
  <c r="V371" i="6" s="1"/>
  <c r="V372" i="6" s="1"/>
  <c r="V373" i="6" s="1"/>
  <c r="V374" i="6" s="1"/>
  <c r="V375" i="6" s="1"/>
  <c r="V376" i="6" s="1"/>
  <c r="V377" i="6" s="1"/>
  <c r="V378" i="6" s="1"/>
  <c r="D380" i="6" s="1"/>
  <c r="D381" i="6" s="1"/>
  <c r="D382" i="6" s="1"/>
  <c r="D383" i="6" s="1"/>
  <c r="D384" i="6" s="1"/>
  <c r="D385" i="6" s="1"/>
  <c r="D386" i="6" s="1"/>
  <c r="D387" i="6" s="1"/>
  <c r="D388" i="6" s="1"/>
  <c r="D389" i="6" s="1"/>
  <c r="D390" i="6" s="1"/>
  <c r="G380" i="6" s="1"/>
  <c r="G381" i="6" s="1"/>
  <c r="G382" i="6" s="1"/>
  <c r="G383" i="6" s="1"/>
  <c r="G384" i="6" s="1"/>
  <c r="G385" i="6" s="1"/>
  <c r="G386" i="6" s="1"/>
  <c r="G387" i="6" s="1"/>
  <c r="G388" i="6" s="1"/>
  <c r="G389" i="6" s="1"/>
  <c r="G390" i="6" s="1"/>
  <c r="J380" i="6" s="1"/>
  <c r="J381" i="6" s="1"/>
  <c r="J382" i="6" s="1"/>
  <c r="J383" i="6" s="1"/>
  <c r="J384" i="6" s="1"/>
  <c r="J385" i="6" s="1"/>
  <c r="J386" i="6" s="1"/>
  <c r="J387" i="6" s="1"/>
  <c r="J388" i="6" s="1"/>
  <c r="J389" i="6" s="1"/>
  <c r="J390" i="6" s="1"/>
  <c r="M380" i="6" s="1"/>
  <c r="M381" i="6" s="1"/>
  <c r="M382" i="6" s="1"/>
  <c r="M383" i="6" s="1"/>
  <c r="M384" i="6" s="1"/>
  <c r="M385" i="6" s="1"/>
  <c r="M386" i="6" s="1"/>
  <c r="M387" i="6" s="1"/>
  <c r="M388" i="6" s="1"/>
  <c r="M389" i="6" s="1"/>
  <c r="M390" i="6" s="1"/>
  <c r="P380" i="6" s="1"/>
  <c r="P381" i="6" s="1"/>
  <c r="P382" i="6" s="1"/>
  <c r="P383" i="6" s="1"/>
  <c r="P384" i="6" s="1"/>
  <c r="P385" i="6" s="1"/>
  <c r="P386" i="6" s="1"/>
  <c r="P387" i="6" s="1"/>
  <c r="P388" i="6" s="1"/>
  <c r="P389" i="6" s="1"/>
  <c r="P390" i="6" s="1"/>
  <c r="S380" i="6" s="1"/>
  <c r="S381" i="6" s="1"/>
  <c r="S382" i="6" s="1"/>
  <c r="S383" i="6" s="1"/>
  <c r="S384" i="6" s="1"/>
  <c r="S385" i="6" s="1"/>
  <c r="S386" i="6" s="1"/>
  <c r="S387" i="6" s="1"/>
  <c r="S388" i="6" s="1"/>
  <c r="S389" i="6" s="1"/>
  <c r="S390" i="6" s="1"/>
  <c r="V380" i="6" s="1"/>
  <c r="V381" i="6" s="1"/>
  <c r="V382" i="6" s="1"/>
  <c r="V383" i="6" s="1"/>
  <c r="V384" i="6" s="1"/>
  <c r="V385" i="6" s="1"/>
  <c r="V386" i="6" s="1"/>
  <c r="V387" i="6" s="1"/>
  <c r="V388" i="6" s="1"/>
  <c r="V389" i="6" s="1"/>
  <c r="V390" i="6" s="1"/>
  <c r="D392" i="6" s="1"/>
  <c r="D393" i="6" s="1"/>
  <c r="D394" i="6" s="1"/>
  <c r="D395" i="6" s="1"/>
  <c r="D396" i="6" s="1"/>
  <c r="D397" i="6" s="1"/>
  <c r="D398" i="6" s="1"/>
  <c r="D399" i="6" s="1"/>
  <c r="D400" i="6" s="1"/>
  <c r="D401" i="6" s="1"/>
  <c r="D402" i="6" s="1"/>
  <c r="G392" i="6" s="1"/>
  <c r="G393" i="6" s="1"/>
  <c r="G394" i="6" s="1"/>
  <c r="G395" i="6" s="1"/>
  <c r="G396" i="6" s="1"/>
  <c r="G397" i="6" s="1"/>
  <c r="G398" i="6" s="1"/>
  <c r="G399" i="6" s="1"/>
  <c r="G400" i="6" s="1"/>
  <c r="G401" i="6" s="1"/>
  <c r="G402" i="6" s="1"/>
  <c r="J392" i="6" s="1"/>
  <c r="J393" i="6" s="1"/>
  <c r="J394" i="6" s="1"/>
  <c r="J395" i="6" s="1"/>
  <c r="J396" i="6" s="1"/>
  <c r="J397" i="6" s="1"/>
  <c r="J398" i="6" s="1"/>
  <c r="J399" i="6" s="1"/>
  <c r="J400" i="6" s="1"/>
  <c r="J401" i="6" s="1"/>
  <c r="J402" i="6" s="1"/>
  <c r="M392" i="6" s="1"/>
  <c r="M393" i="6" s="1"/>
  <c r="M394" i="6" s="1"/>
  <c r="M395" i="6" s="1"/>
  <c r="M396" i="6" s="1"/>
  <c r="M397" i="6" s="1"/>
  <c r="M398" i="6" s="1"/>
  <c r="M399" i="6" s="1"/>
  <c r="M400" i="6" s="1"/>
  <c r="M401" i="6" s="1"/>
  <c r="M402" i="6" s="1"/>
  <c r="P392" i="6" s="1"/>
  <c r="P393" i="6" s="1"/>
  <c r="P394" i="6" s="1"/>
  <c r="P395" i="6" s="1"/>
  <c r="P396" i="6" s="1"/>
  <c r="P397" i="6" s="1"/>
  <c r="P398" i="6" s="1"/>
  <c r="P399" i="6" s="1"/>
  <c r="P400" i="6" s="1"/>
  <c r="P401" i="6" s="1"/>
  <c r="P402" i="6" s="1"/>
  <c r="S392" i="6" s="1"/>
  <c r="S393" i="6" s="1"/>
  <c r="S394" i="6" s="1"/>
  <c r="S395" i="6" s="1"/>
  <c r="S396" i="6" s="1"/>
  <c r="S397" i="6" s="1"/>
  <c r="S398" i="6" s="1"/>
  <c r="S399" i="6" s="1"/>
  <c r="S400" i="6" s="1"/>
  <c r="S401" i="6" s="1"/>
  <c r="S402" i="6" s="1"/>
  <c r="V392" i="6" s="1"/>
  <c r="V393" i="6" s="1"/>
  <c r="V394" i="6" s="1"/>
  <c r="V395" i="6" s="1"/>
  <c r="V396" i="6" s="1"/>
  <c r="V397" i="6" s="1"/>
  <c r="V398" i="6" s="1"/>
  <c r="V399" i="6" s="1"/>
  <c r="V400" i="6" s="1"/>
  <c r="V401" i="6" s="1"/>
  <c r="V402" i="6" s="1"/>
  <c r="D404" i="6" s="1"/>
  <c r="D405" i="6" s="1"/>
  <c r="D406" i="6" s="1"/>
  <c r="D407" i="6" s="1"/>
  <c r="D408" i="6" s="1"/>
  <c r="D409" i="6" s="1"/>
  <c r="D410" i="6" s="1"/>
  <c r="D411" i="6" s="1"/>
  <c r="D412" i="6" s="1"/>
  <c r="D413" i="6" s="1"/>
  <c r="D414" i="6" s="1"/>
  <c r="G404" i="6" s="1"/>
  <c r="G405" i="6" s="1"/>
  <c r="G406" i="6" s="1"/>
  <c r="G407" i="6" s="1"/>
  <c r="G408" i="6" s="1"/>
  <c r="G409" i="6" s="1"/>
  <c r="G410" i="6" s="1"/>
  <c r="G411" i="6" s="1"/>
  <c r="G412" i="6" s="1"/>
  <c r="G413" i="6" s="1"/>
  <c r="G414" i="6" s="1"/>
  <c r="J404" i="6" s="1"/>
  <c r="J405" i="6" s="1"/>
  <c r="J406" i="6" s="1"/>
  <c r="J407" i="6" s="1"/>
  <c r="J408" i="6" s="1"/>
  <c r="J409" i="6" s="1"/>
  <c r="J410" i="6" s="1"/>
  <c r="J411" i="6" s="1"/>
  <c r="J412" i="6" s="1"/>
  <c r="J413" i="6" s="1"/>
  <c r="J414" i="6" s="1"/>
  <c r="M404" i="6" s="1"/>
  <c r="M405" i="6" s="1"/>
  <c r="M406" i="6" s="1"/>
  <c r="M407" i="6" s="1"/>
  <c r="M408" i="6" s="1"/>
  <c r="M409" i="6" s="1"/>
  <c r="M410" i="6" s="1"/>
  <c r="M411" i="6" s="1"/>
  <c r="M412" i="6" s="1"/>
  <c r="M413" i="6" s="1"/>
  <c r="M414" i="6" s="1"/>
  <c r="P404" i="6" s="1"/>
  <c r="P405" i="6" s="1"/>
  <c r="P406" i="6" s="1"/>
  <c r="P407" i="6" s="1"/>
  <c r="P408" i="6" s="1"/>
  <c r="P409" i="6" s="1"/>
  <c r="P410" i="6" s="1"/>
  <c r="P411" i="6" s="1"/>
  <c r="P412" i="6" s="1"/>
  <c r="P413" i="6" s="1"/>
  <c r="P414" i="6" s="1"/>
  <c r="S404" i="6" s="1"/>
  <c r="S405" i="6" s="1"/>
  <c r="S406" i="6" s="1"/>
  <c r="S407" i="6" s="1"/>
  <c r="S408" i="6" s="1"/>
  <c r="S409" i="6" s="1"/>
  <c r="S410" i="6" s="1"/>
  <c r="S411" i="6" s="1"/>
  <c r="S412" i="6" s="1"/>
  <c r="S413" i="6" s="1"/>
  <c r="S414" i="6" s="1"/>
  <c r="V404" i="6" s="1"/>
  <c r="V405" i="6" s="1"/>
  <c r="V406" i="6" s="1"/>
  <c r="V407" i="6" s="1"/>
  <c r="V408" i="6" s="1"/>
  <c r="V409" i="6" s="1"/>
  <c r="V410" i="6" s="1"/>
  <c r="V411" i="6" s="1"/>
  <c r="V412" i="6" s="1"/>
  <c r="V413" i="6" s="1"/>
  <c r="V414" i="6" s="1"/>
  <c r="D416" i="6" s="1"/>
  <c r="D417" i="6" s="1"/>
  <c r="D418" i="6" s="1"/>
  <c r="D419" i="6" s="1"/>
  <c r="D420" i="6" s="1"/>
  <c r="D421" i="6" s="1"/>
  <c r="D422" i="6" s="1"/>
  <c r="D423" i="6" s="1"/>
  <c r="D424" i="6" s="1"/>
  <c r="D425" i="6" s="1"/>
  <c r="D426" i="6" s="1"/>
  <c r="G416" i="6" s="1"/>
  <c r="G417" i="6" s="1"/>
  <c r="G418" i="6" s="1"/>
  <c r="G419" i="6" s="1"/>
  <c r="G420" i="6" s="1"/>
  <c r="G421" i="6" s="1"/>
  <c r="G422" i="6" s="1"/>
  <c r="G423" i="6" s="1"/>
  <c r="G424" i="6" s="1"/>
  <c r="G425" i="6" s="1"/>
  <c r="G426" i="6" s="1"/>
  <c r="J416" i="6" s="1"/>
  <c r="J417" i="6" s="1"/>
  <c r="J418" i="6" s="1"/>
  <c r="J419" i="6" s="1"/>
  <c r="J420" i="6" s="1"/>
  <c r="J421" i="6" s="1"/>
  <c r="J422" i="6" s="1"/>
  <c r="J423" i="6" s="1"/>
  <c r="J424" i="6" s="1"/>
  <c r="J425" i="6" s="1"/>
  <c r="J426" i="6" s="1"/>
  <c r="M416" i="6" s="1"/>
  <c r="M417" i="6" s="1"/>
  <c r="M418" i="6" s="1"/>
  <c r="M419" i="6" s="1"/>
  <c r="M420" i="6" s="1"/>
  <c r="M421" i="6" s="1"/>
  <c r="M422" i="6" s="1"/>
  <c r="M423" i="6" s="1"/>
  <c r="M424" i="6" s="1"/>
  <c r="M425" i="6" s="1"/>
  <c r="M426" i="6" s="1"/>
  <c r="P416" i="6" s="1"/>
  <c r="P417" i="6" s="1"/>
  <c r="P418" i="6" s="1"/>
  <c r="P419" i="6" s="1"/>
  <c r="P420" i="6" s="1"/>
  <c r="P421" i="6" s="1"/>
  <c r="P422" i="6" s="1"/>
  <c r="P423" i="6" s="1"/>
  <c r="P424" i="6" s="1"/>
  <c r="P425" i="6" s="1"/>
  <c r="P426" i="6" s="1"/>
  <c r="S416" i="6" s="1"/>
  <c r="S417" i="6" s="1"/>
  <c r="S418" i="6" s="1"/>
  <c r="S419" i="6" s="1"/>
  <c r="S420" i="6" s="1"/>
  <c r="S421" i="6" s="1"/>
  <c r="S422" i="6" s="1"/>
  <c r="S423" i="6" s="1"/>
  <c r="S424" i="6" s="1"/>
  <c r="S425" i="6" s="1"/>
  <c r="S426" i="6" s="1"/>
  <c r="V416" i="6" s="1"/>
  <c r="V417" i="6" s="1"/>
  <c r="V418" i="6" s="1"/>
  <c r="V419" i="6" s="1"/>
  <c r="V420" i="6" s="1"/>
  <c r="V421" i="6" s="1"/>
  <c r="V422" i="6" s="1"/>
  <c r="V423" i="6" s="1"/>
  <c r="V424" i="6" s="1"/>
  <c r="V425" i="6" s="1"/>
  <c r="V426" i="6" s="1"/>
  <c r="D428" i="6" s="1"/>
  <c r="D429" i="6" s="1"/>
  <c r="D430" i="6" s="1"/>
  <c r="D431" i="6" s="1"/>
  <c r="D432" i="6" s="1"/>
  <c r="D433" i="6" s="1"/>
  <c r="D434" i="6" s="1"/>
  <c r="D435" i="6" s="1"/>
  <c r="D436" i="6" s="1"/>
  <c r="D437" i="6" s="1"/>
  <c r="D438" i="6" s="1"/>
  <c r="G428" i="6" s="1"/>
  <c r="G429" i="6" s="1"/>
  <c r="G430" i="6" s="1"/>
  <c r="G431" i="6" s="1"/>
  <c r="G432" i="6" s="1"/>
  <c r="G433" i="6" s="1"/>
  <c r="G434" i="6" s="1"/>
  <c r="G435" i="6" s="1"/>
  <c r="G436" i="6" s="1"/>
  <c r="G437" i="6" s="1"/>
  <c r="G438" i="6" s="1"/>
  <c r="J428" i="6" s="1"/>
  <c r="J429" i="6" s="1"/>
  <c r="J430" i="6" s="1"/>
  <c r="J431" i="6" s="1"/>
  <c r="J432" i="6" s="1"/>
  <c r="J433" i="6" s="1"/>
  <c r="J434" i="6" s="1"/>
  <c r="J435" i="6" s="1"/>
  <c r="J436" i="6" s="1"/>
  <c r="J437" i="6" s="1"/>
  <c r="J438" i="6" s="1"/>
  <c r="M428" i="6" s="1"/>
  <c r="M429" i="6" s="1"/>
  <c r="M430" i="6" s="1"/>
  <c r="M431" i="6" s="1"/>
  <c r="M432" i="6" s="1"/>
  <c r="M433" i="6" s="1"/>
  <c r="M434" i="6" s="1"/>
  <c r="M435" i="6" s="1"/>
  <c r="M436" i="6" s="1"/>
  <c r="M437" i="6" s="1"/>
  <c r="M438" i="6" s="1"/>
  <c r="P428" i="6" s="1"/>
  <c r="P429" i="6" s="1"/>
  <c r="P430" i="6" s="1"/>
  <c r="P431" i="6" s="1"/>
  <c r="P432" i="6" s="1"/>
  <c r="P433" i="6" s="1"/>
  <c r="P434" i="6" s="1"/>
  <c r="P435" i="6" s="1"/>
  <c r="P436" i="6" s="1"/>
  <c r="P437" i="6" s="1"/>
  <c r="P438" i="6" s="1"/>
  <c r="S428" i="6" s="1"/>
  <c r="S429" i="6" s="1"/>
  <c r="S430" i="6" s="1"/>
  <c r="S431" i="6" s="1"/>
  <c r="S432" i="6" s="1"/>
  <c r="S433" i="6" s="1"/>
  <c r="S434" i="6" s="1"/>
  <c r="S435" i="6" s="1"/>
  <c r="S436" i="6" s="1"/>
  <c r="S437" i="6" s="1"/>
  <c r="S438" i="6" s="1"/>
  <c r="V428" i="6" s="1"/>
  <c r="V429" i="6" s="1"/>
  <c r="V430" i="6" s="1"/>
  <c r="V431" i="6" s="1"/>
  <c r="V432" i="6" s="1"/>
  <c r="V433" i="6" s="1"/>
  <c r="V434" i="6" s="1"/>
  <c r="V435" i="6" s="1"/>
  <c r="V436" i="6" s="1"/>
  <c r="V437" i="6" s="1"/>
  <c r="V438" i="6" s="1"/>
  <c r="D440" i="6" s="1"/>
  <c r="D441" i="6" s="1"/>
  <c r="D442" i="6" s="1"/>
  <c r="D443" i="6" s="1"/>
  <c r="D444" i="6" s="1"/>
  <c r="D445" i="6" s="1"/>
  <c r="D446" i="6" s="1"/>
  <c r="D447" i="6" s="1"/>
  <c r="D448" i="6" s="1"/>
  <c r="D449" i="6" s="1"/>
  <c r="D450" i="6" s="1"/>
  <c r="G440" i="6" s="1"/>
  <c r="G441" i="6" s="1"/>
  <c r="G442" i="6" s="1"/>
  <c r="G443" i="6" s="1"/>
  <c r="G444" i="6" s="1"/>
  <c r="G445" i="6" s="1"/>
  <c r="G446" i="6" s="1"/>
  <c r="G447" i="6" s="1"/>
  <c r="G448" i="6" s="1"/>
  <c r="G449" i="6" s="1"/>
  <c r="G450" i="6" s="1"/>
  <c r="J440" i="6" s="1"/>
  <c r="J441" i="6" s="1"/>
  <c r="J442" i="6" s="1"/>
  <c r="J443" i="6" s="1"/>
  <c r="J444" i="6" s="1"/>
  <c r="J445" i="6" s="1"/>
  <c r="J446" i="6" s="1"/>
  <c r="J447" i="6" s="1"/>
  <c r="J448" i="6" s="1"/>
  <c r="J449" i="6" s="1"/>
  <c r="J450" i="6" s="1"/>
  <c r="M440" i="6" s="1"/>
  <c r="M441" i="6" s="1"/>
  <c r="M442" i="6" s="1"/>
  <c r="M443" i="6" s="1"/>
  <c r="M444" i="6" s="1"/>
  <c r="M445" i="6" s="1"/>
  <c r="M446" i="6" s="1"/>
  <c r="M447" i="6" s="1"/>
  <c r="M448" i="6" s="1"/>
  <c r="M449" i="6" s="1"/>
  <c r="M450" i="6" s="1"/>
  <c r="P440" i="6" s="1"/>
  <c r="P441" i="6" s="1"/>
  <c r="P442" i="6" s="1"/>
  <c r="P443" i="6" s="1"/>
  <c r="P444" i="6" s="1"/>
  <c r="P445" i="6" s="1"/>
  <c r="P446" i="6" s="1"/>
  <c r="P447" i="6" s="1"/>
  <c r="P448" i="6" s="1"/>
  <c r="P449" i="6" s="1"/>
  <c r="P450" i="6" s="1"/>
  <c r="S440" i="6" s="1"/>
  <c r="S441" i="6" s="1"/>
  <c r="S442" i="6" s="1"/>
  <c r="S443" i="6" s="1"/>
  <c r="S444" i="6" s="1"/>
  <c r="S445" i="6" s="1"/>
  <c r="S446" i="6" s="1"/>
  <c r="S447" i="6" s="1"/>
  <c r="S448" i="6" s="1"/>
  <c r="S449" i="6" s="1"/>
  <c r="S450" i="6" s="1"/>
  <c r="V440" i="6" s="1"/>
  <c r="V441" i="6" s="1"/>
  <c r="V442" i="6" s="1"/>
  <c r="V443" i="6" s="1"/>
  <c r="V444" i="6" s="1"/>
  <c r="V445" i="6" s="1"/>
  <c r="V446" i="6" s="1"/>
  <c r="V447" i="6" s="1"/>
  <c r="V448" i="6" s="1"/>
  <c r="V449" i="6" s="1"/>
  <c r="V450" i="6" s="1"/>
  <c r="D452" i="6" s="1"/>
  <c r="D453" i="6" s="1"/>
  <c r="D454" i="6" s="1"/>
  <c r="D455" i="6" s="1"/>
  <c r="D456" i="6" s="1"/>
  <c r="D457" i="6" s="1"/>
  <c r="D458" i="6" s="1"/>
  <c r="D459" i="6" s="1"/>
  <c r="D460" i="6" s="1"/>
  <c r="D461" i="6" s="1"/>
  <c r="D462" i="6" s="1"/>
  <c r="G452" i="6" s="1"/>
  <c r="G453" i="6" s="1"/>
  <c r="G454" i="6" s="1"/>
  <c r="G455" i="6" s="1"/>
  <c r="G456" i="6" s="1"/>
  <c r="G457" i="6" s="1"/>
  <c r="G458" i="6" s="1"/>
  <c r="G459" i="6" s="1"/>
  <c r="G460" i="6" s="1"/>
  <c r="G461" i="6" s="1"/>
  <c r="G462" i="6" s="1"/>
  <c r="J452" i="6" s="1"/>
  <c r="J453" i="6" s="1"/>
  <c r="J454" i="6" s="1"/>
  <c r="J455" i="6" s="1"/>
  <c r="J456" i="6" s="1"/>
  <c r="J457" i="6" s="1"/>
  <c r="J458" i="6" s="1"/>
  <c r="J459" i="6" s="1"/>
  <c r="J460" i="6" s="1"/>
  <c r="J461" i="6" s="1"/>
  <c r="J462" i="6" s="1"/>
  <c r="M452" i="6" s="1"/>
  <c r="M453" i="6" s="1"/>
  <c r="M454" i="6" s="1"/>
  <c r="M455" i="6" s="1"/>
  <c r="M456" i="6" s="1"/>
  <c r="M457" i="6" s="1"/>
  <c r="M458" i="6" s="1"/>
  <c r="M459" i="6" s="1"/>
  <c r="M460" i="6" s="1"/>
  <c r="M461" i="6" s="1"/>
  <c r="M462" i="6" s="1"/>
  <c r="P452" i="6" s="1"/>
  <c r="P453" i="6" s="1"/>
  <c r="P454" i="6" s="1"/>
  <c r="P455" i="6" s="1"/>
  <c r="P456" i="6" s="1"/>
  <c r="P457" i="6" s="1"/>
  <c r="P458" i="6" s="1"/>
  <c r="P459" i="6" s="1"/>
  <c r="P460" i="6" s="1"/>
  <c r="P461" i="6" s="1"/>
  <c r="P462" i="6" s="1"/>
  <c r="S452" i="6" s="1"/>
  <c r="S453" i="6" s="1"/>
  <c r="S454" i="6" s="1"/>
  <c r="S455" i="6" s="1"/>
  <c r="S456" i="6" s="1"/>
  <c r="S457" i="6" s="1"/>
  <c r="S458" i="6" s="1"/>
  <c r="S459" i="6" s="1"/>
  <c r="S460" i="6" s="1"/>
  <c r="S461" i="6" s="1"/>
  <c r="S462" i="6" s="1"/>
  <c r="V452" i="6" s="1"/>
  <c r="V453" i="6" s="1"/>
  <c r="V454" i="6" s="1"/>
  <c r="V455" i="6" s="1"/>
  <c r="V456" i="6" s="1"/>
  <c r="V457" i="6" s="1"/>
  <c r="V458" i="6" s="1"/>
  <c r="V459" i="6" s="1"/>
  <c r="V460" i="6" s="1"/>
  <c r="V461" i="6" s="1"/>
  <c r="V462" i="6" s="1"/>
  <c r="D464" i="6" s="1"/>
  <c r="D465" i="6" s="1"/>
  <c r="D466" i="6" s="1"/>
  <c r="D467" i="6" s="1"/>
  <c r="D468" i="6" s="1"/>
  <c r="D469" i="6" s="1"/>
  <c r="D470" i="6" s="1"/>
  <c r="D471" i="6" s="1"/>
  <c r="D472" i="6" s="1"/>
  <c r="D473" i="6" s="1"/>
  <c r="D474" i="6" s="1"/>
  <c r="G464" i="6" s="1"/>
  <c r="G465" i="6" s="1"/>
  <c r="G466" i="6" s="1"/>
  <c r="G467" i="6" s="1"/>
  <c r="G468" i="6" s="1"/>
  <c r="G469" i="6" s="1"/>
  <c r="G470" i="6" s="1"/>
  <c r="G471" i="6" s="1"/>
  <c r="G472" i="6" s="1"/>
  <c r="G473" i="6" s="1"/>
  <c r="G474" i="6" s="1"/>
  <c r="J464" i="6" s="1"/>
  <c r="J465" i="6" s="1"/>
  <c r="J466" i="6" s="1"/>
  <c r="J467" i="6" s="1"/>
  <c r="J468" i="6" s="1"/>
  <c r="J469" i="6" s="1"/>
  <c r="J470" i="6" s="1"/>
  <c r="J471" i="6" s="1"/>
  <c r="J472" i="6" s="1"/>
  <c r="J473" i="6" s="1"/>
  <c r="J474" i="6" s="1"/>
  <c r="M464" i="6" s="1"/>
  <c r="M465" i="6" s="1"/>
  <c r="M466" i="6" s="1"/>
  <c r="M467" i="6" s="1"/>
  <c r="M468" i="6" s="1"/>
  <c r="M469" i="6" s="1"/>
  <c r="M470" i="6" s="1"/>
  <c r="M471" i="6" s="1"/>
  <c r="M472" i="6" s="1"/>
  <c r="M473" i="6" s="1"/>
  <c r="M474" i="6" s="1"/>
  <c r="P464" i="6" s="1"/>
  <c r="P465" i="6" s="1"/>
  <c r="P466" i="6" s="1"/>
  <c r="P467" i="6" s="1"/>
  <c r="P468" i="6" s="1"/>
  <c r="P469" i="6" s="1"/>
  <c r="P470" i="6" s="1"/>
  <c r="P471" i="6" s="1"/>
  <c r="P472" i="6" s="1"/>
  <c r="P473" i="6" s="1"/>
  <c r="P474" i="6" s="1"/>
  <c r="S464" i="6" s="1"/>
  <c r="S465" i="6" s="1"/>
  <c r="S466" i="6" s="1"/>
  <c r="S467" i="6" s="1"/>
  <c r="S468" i="6" s="1"/>
  <c r="S469" i="6" s="1"/>
  <c r="S470" i="6" s="1"/>
  <c r="S471" i="6" s="1"/>
  <c r="S472" i="6" s="1"/>
  <c r="S473" i="6" s="1"/>
  <c r="S474" i="6" s="1"/>
  <c r="V464" i="6" s="1"/>
  <c r="V465" i="6" s="1"/>
  <c r="V466" i="6" s="1"/>
  <c r="V467" i="6" s="1"/>
  <c r="V468" i="6" s="1"/>
  <c r="V469" i="6" s="1"/>
  <c r="V470" i="6" s="1"/>
  <c r="V471" i="6" s="1"/>
  <c r="V472" i="6" s="1"/>
  <c r="V473" i="6" s="1"/>
  <c r="V474" i="6" s="1"/>
  <c r="D476" i="6" s="1"/>
  <c r="D477" i="6" s="1"/>
  <c r="D478" i="6" s="1"/>
  <c r="D479" i="6" s="1"/>
  <c r="D480" i="6" s="1"/>
  <c r="D481" i="6" s="1"/>
  <c r="D482" i="6" s="1"/>
  <c r="D483" i="6" s="1"/>
  <c r="D484" i="6" s="1"/>
  <c r="D485" i="6" s="1"/>
  <c r="D486" i="6" s="1"/>
  <c r="G476" i="6" s="1"/>
  <c r="G477" i="6" s="1"/>
  <c r="G478" i="6" s="1"/>
  <c r="G479" i="6" s="1"/>
  <c r="G480" i="6" s="1"/>
  <c r="G481" i="6" s="1"/>
  <c r="G482" i="6" s="1"/>
  <c r="G483" i="6" s="1"/>
  <c r="G484" i="6" s="1"/>
  <c r="G485" i="6" s="1"/>
  <c r="G486" i="6" s="1"/>
  <c r="J476" i="6" s="1"/>
  <c r="J477" i="6" s="1"/>
  <c r="J478" i="6" s="1"/>
  <c r="J479" i="6" s="1"/>
  <c r="J480" i="6" s="1"/>
  <c r="J481" i="6" s="1"/>
  <c r="J482" i="6" s="1"/>
  <c r="J483" i="6" s="1"/>
  <c r="J484" i="6" s="1"/>
  <c r="J485" i="6" s="1"/>
  <c r="J486" i="6" s="1"/>
  <c r="M476" i="6" s="1"/>
  <c r="M477" i="6" s="1"/>
  <c r="M478" i="6" s="1"/>
  <c r="M479" i="6" s="1"/>
  <c r="M480" i="6" s="1"/>
  <c r="M481" i="6" s="1"/>
  <c r="M482" i="6" s="1"/>
  <c r="M483" i="6" s="1"/>
  <c r="M484" i="6" s="1"/>
  <c r="M485" i="6" s="1"/>
  <c r="M486" i="6" s="1"/>
  <c r="P476" i="6" s="1"/>
  <c r="P477" i="6" s="1"/>
  <c r="P478" i="6" s="1"/>
  <c r="P479" i="6" s="1"/>
  <c r="P480" i="6" s="1"/>
  <c r="P481" i="6" s="1"/>
  <c r="P482" i="6" s="1"/>
  <c r="P483" i="6" s="1"/>
  <c r="P484" i="6" s="1"/>
  <c r="P485" i="6" s="1"/>
  <c r="P486" i="6" s="1"/>
  <c r="S476" i="6" s="1"/>
  <c r="S477" i="6" s="1"/>
  <c r="S478" i="6" s="1"/>
  <c r="S479" i="6" s="1"/>
  <c r="S480" i="6" s="1"/>
  <c r="S481" i="6" s="1"/>
  <c r="S482" i="6" s="1"/>
  <c r="S483" i="6" s="1"/>
  <c r="S484" i="6" s="1"/>
  <c r="S485" i="6" s="1"/>
  <c r="S486" i="6" s="1"/>
  <c r="V476" i="6" s="1"/>
  <c r="V477" i="6" s="1"/>
  <c r="V478" i="6" s="1"/>
  <c r="V479" i="6" s="1"/>
  <c r="V480" i="6" s="1"/>
  <c r="V481" i="6" s="1"/>
  <c r="V482" i="6" s="1"/>
  <c r="V483" i="6" s="1"/>
  <c r="V484" i="6" s="1"/>
  <c r="V485" i="6" s="1"/>
  <c r="V486" i="6" s="1"/>
  <c r="D488" i="6" s="1"/>
  <c r="D489" i="6" s="1"/>
  <c r="D490" i="6" s="1"/>
  <c r="D491" i="6" s="1"/>
  <c r="D492" i="6" s="1"/>
  <c r="D493" i="6" s="1"/>
  <c r="D494" i="6" s="1"/>
  <c r="D495" i="6" s="1"/>
  <c r="D496" i="6" s="1"/>
  <c r="D497" i="6" s="1"/>
  <c r="D498" i="6" s="1"/>
  <c r="G488" i="6" s="1"/>
  <c r="G489" i="6" s="1"/>
  <c r="G490" i="6" s="1"/>
  <c r="G491" i="6" s="1"/>
  <c r="G492" i="6" s="1"/>
  <c r="G493" i="6" s="1"/>
  <c r="G494" i="6" s="1"/>
  <c r="G495" i="6" s="1"/>
  <c r="G496" i="6" s="1"/>
  <c r="G497" i="6" s="1"/>
  <c r="G498" i="6" s="1"/>
  <c r="J488" i="6" s="1"/>
  <c r="J489" i="6" s="1"/>
  <c r="J490" i="6" s="1"/>
  <c r="J491" i="6" s="1"/>
  <c r="J492" i="6" s="1"/>
  <c r="J493" i="6" s="1"/>
  <c r="J494" i="6" s="1"/>
  <c r="J495" i="6" s="1"/>
  <c r="J496" i="6" s="1"/>
  <c r="J497" i="6" s="1"/>
  <c r="J498" i="6" s="1"/>
  <c r="M488" i="6" s="1"/>
  <c r="M489" i="6" s="1"/>
  <c r="M490" i="6" s="1"/>
  <c r="M491" i="6" s="1"/>
  <c r="M492" i="6" s="1"/>
  <c r="M493" i="6" s="1"/>
  <c r="M494" i="6" s="1"/>
  <c r="M495" i="6" s="1"/>
  <c r="M496" i="6" s="1"/>
  <c r="M497" i="6" s="1"/>
  <c r="M498" i="6" s="1"/>
  <c r="P488" i="6" s="1"/>
  <c r="P489" i="6" s="1"/>
  <c r="P490" i="6" s="1"/>
  <c r="P491" i="6" s="1"/>
  <c r="P492" i="6" s="1"/>
  <c r="P493" i="6" s="1"/>
  <c r="P494" i="6" s="1"/>
  <c r="P495" i="6" s="1"/>
  <c r="P496" i="6" s="1"/>
  <c r="P497" i="6" s="1"/>
  <c r="P498" i="6" s="1"/>
  <c r="S488" i="6" s="1"/>
  <c r="S489" i="6" s="1"/>
  <c r="S490" i="6" s="1"/>
  <c r="S491" i="6" s="1"/>
  <c r="S492" i="6" s="1"/>
  <c r="S493" i="6" s="1"/>
  <c r="S494" i="6" s="1"/>
  <c r="S495" i="6" s="1"/>
  <c r="S496" i="6" s="1"/>
  <c r="S497" i="6" s="1"/>
  <c r="S498" i="6" s="1"/>
  <c r="V488" i="6" s="1"/>
  <c r="V489" i="6" s="1"/>
  <c r="V490" i="6" s="1"/>
  <c r="V491" i="6" s="1"/>
  <c r="V492" i="6" s="1"/>
  <c r="T12" i="6"/>
  <c r="Q12" i="6"/>
  <c r="N12" i="6"/>
  <c r="K12" i="6"/>
  <c r="H12" i="6"/>
  <c r="E12" i="6"/>
  <c r="B12" i="6"/>
  <c r="G10" i="6"/>
  <c r="G11" i="6" s="1"/>
  <c r="J4" i="6" s="1"/>
  <c r="J5" i="6" s="1"/>
  <c r="J6" i="6" s="1"/>
  <c r="J7" i="6" s="1"/>
  <c r="J8" i="6" s="1"/>
  <c r="J9" i="6" s="1"/>
  <c r="J10" i="6" s="1"/>
  <c r="J11" i="6" s="1"/>
  <c r="M4" i="6" s="1"/>
  <c r="M5" i="6" s="1"/>
  <c r="M6" i="6" s="1"/>
  <c r="M7" i="6" s="1"/>
  <c r="M8" i="6" s="1"/>
  <c r="M9" i="6" s="1"/>
  <c r="M10" i="6" s="1"/>
  <c r="M11" i="6" s="1"/>
  <c r="P4" i="6" s="1"/>
  <c r="P5" i="6" s="1"/>
  <c r="P6" i="6" s="1"/>
  <c r="P7" i="6" s="1"/>
  <c r="P8" i="6" s="1"/>
  <c r="P9" i="6" s="1"/>
  <c r="P10" i="6" s="1"/>
  <c r="P11" i="6" s="1"/>
  <c r="S4" i="6" s="1"/>
  <c r="S5" i="6" s="1"/>
  <c r="S6" i="6" s="1"/>
  <c r="S7" i="6" s="1"/>
  <c r="S8" i="6" s="1"/>
  <c r="S9" i="6" s="1"/>
  <c r="S10" i="6" s="1"/>
  <c r="S11" i="6" s="1"/>
  <c r="V4" i="6" s="1"/>
  <c r="V5" i="6" s="1"/>
  <c r="V6" i="6" s="1"/>
  <c r="V7" i="6" s="1"/>
  <c r="V8" i="6" s="1"/>
  <c r="V9" i="6" s="1"/>
  <c r="V10" i="6" s="1"/>
  <c r="V11" i="6" s="1"/>
  <c r="D13" i="6" s="1"/>
  <c r="D14" i="6" s="1"/>
  <c r="D9" i="6"/>
  <c r="D10" i="6" s="1"/>
  <c r="D11" i="6" s="1"/>
  <c r="G4" i="6" s="1"/>
  <c r="G5" i="6" s="1"/>
  <c r="G6" i="6" s="1"/>
  <c r="G7" i="6" s="1"/>
  <c r="G8" i="6" s="1"/>
  <c r="G9" i="6" s="1"/>
  <c r="D8" i="6"/>
  <c r="T2" i="6"/>
  <c r="Q2" i="6"/>
  <c r="N2" i="6"/>
  <c r="K2" i="6"/>
  <c r="H2" i="6"/>
  <c r="E2" i="6"/>
  <c r="T631" i="5"/>
  <c r="Q631" i="5"/>
  <c r="N631" i="5"/>
  <c r="K631" i="5"/>
  <c r="H631" i="5"/>
  <c r="E631" i="5"/>
  <c r="B631" i="5"/>
  <c r="T619" i="5"/>
  <c r="Q619" i="5"/>
  <c r="N619" i="5"/>
  <c r="K619" i="5"/>
  <c r="H619" i="5"/>
  <c r="E619" i="5"/>
  <c r="B619" i="5"/>
  <c r="T607" i="5"/>
  <c r="Q607" i="5"/>
  <c r="N607" i="5"/>
  <c r="K607" i="5"/>
  <c r="H607" i="5"/>
  <c r="E607" i="5"/>
  <c r="B607" i="5"/>
  <c r="T595" i="5"/>
  <c r="Q595" i="5"/>
  <c r="N595" i="5"/>
  <c r="K595" i="5"/>
  <c r="H595" i="5"/>
  <c r="E595" i="5"/>
  <c r="B595" i="5"/>
  <c r="T583" i="5"/>
  <c r="Q583" i="5"/>
  <c r="N583" i="5"/>
  <c r="K583" i="5"/>
  <c r="H583" i="5"/>
  <c r="E583" i="5"/>
  <c r="B583" i="5"/>
  <c r="T571" i="5"/>
  <c r="Q571" i="5"/>
  <c r="N571" i="5"/>
  <c r="K571" i="5"/>
  <c r="H571" i="5"/>
  <c r="E571" i="5"/>
  <c r="B571" i="5"/>
  <c r="T559" i="5"/>
  <c r="Q559" i="5"/>
  <c r="N559" i="5"/>
  <c r="K559" i="5"/>
  <c r="H559" i="5"/>
  <c r="E559" i="5"/>
  <c r="B559" i="5"/>
  <c r="T547" i="5"/>
  <c r="Q547" i="5"/>
  <c r="N547" i="5"/>
  <c r="K547" i="5"/>
  <c r="H547" i="5"/>
  <c r="E547" i="5"/>
  <c r="B547" i="5"/>
  <c r="T535" i="5"/>
  <c r="Q535" i="5"/>
  <c r="N535" i="5"/>
  <c r="K535" i="5"/>
  <c r="H535" i="5"/>
  <c r="E535" i="5"/>
  <c r="B535" i="5"/>
  <c r="T523" i="5"/>
  <c r="Q523" i="5"/>
  <c r="N523" i="5"/>
  <c r="K523" i="5"/>
  <c r="H523" i="5"/>
  <c r="E523" i="5"/>
  <c r="B523" i="5"/>
  <c r="T511" i="5"/>
  <c r="Q511" i="5"/>
  <c r="N511" i="5"/>
  <c r="K511" i="5"/>
  <c r="H511" i="5"/>
  <c r="E511" i="5"/>
  <c r="B511" i="5"/>
  <c r="T499" i="5"/>
  <c r="Q499" i="5"/>
  <c r="N499" i="5"/>
  <c r="K499" i="5"/>
  <c r="H499" i="5"/>
  <c r="E499" i="5"/>
  <c r="B499" i="5"/>
  <c r="T487" i="5"/>
  <c r="Q487" i="5"/>
  <c r="N487" i="5"/>
  <c r="K487" i="5"/>
  <c r="H487" i="5"/>
  <c r="E487" i="5"/>
  <c r="B487" i="5"/>
  <c r="T475" i="5"/>
  <c r="Q475" i="5"/>
  <c r="N475" i="5"/>
  <c r="K475" i="5"/>
  <c r="H475" i="5"/>
  <c r="E475" i="5"/>
  <c r="B475" i="5"/>
  <c r="T463" i="5"/>
  <c r="Q463" i="5"/>
  <c r="N463" i="5"/>
  <c r="K463" i="5"/>
  <c r="H463" i="5"/>
  <c r="E463" i="5"/>
  <c r="B463" i="5"/>
  <c r="T451" i="5"/>
  <c r="Q451" i="5"/>
  <c r="N451" i="5"/>
  <c r="K451" i="5"/>
  <c r="H451" i="5"/>
  <c r="E451" i="5"/>
  <c r="B451" i="5"/>
  <c r="T439" i="5"/>
  <c r="Q439" i="5"/>
  <c r="N439" i="5"/>
  <c r="K439" i="5"/>
  <c r="H439" i="5"/>
  <c r="E439" i="5"/>
  <c r="B439" i="5"/>
  <c r="T427" i="5"/>
  <c r="Q427" i="5"/>
  <c r="N427" i="5"/>
  <c r="K427" i="5"/>
  <c r="H427" i="5"/>
  <c r="E427" i="5"/>
  <c r="B427" i="5"/>
  <c r="T415" i="5"/>
  <c r="Q415" i="5"/>
  <c r="N415" i="5"/>
  <c r="K415" i="5"/>
  <c r="H415" i="5"/>
  <c r="E415" i="5"/>
  <c r="B415" i="5"/>
  <c r="T403" i="5"/>
  <c r="Q403" i="5"/>
  <c r="N403" i="5"/>
  <c r="K403" i="5"/>
  <c r="H403" i="5"/>
  <c r="E403" i="5"/>
  <c r="B403" i="5"/>
  <c r="T391" i="5"/>
  <c r="Q391" i="5"/>
  <c r="N391" i="5"/>
  <c r="K391" i="5"/>
  <c r="H391" i="5"/>
  <c r="E391" i="5"/>
  <c r="B391" i="5"/>
  <c r="T379" i="5"/>
  <c r="Q379" i="5"/>
  <c r="N379" i="5"/>
  <c r="K379" i="5"/>
  <c r="H379" i="5"/>
  <c r="E379" i="5"/>
  <c r="B379" i="5"/>
  <c r="T367" i="5"/>
  <c r="Q367" i="5"/>
  <c r="N367" i="5"/>
  <c r="K367" i="5"/>
  <c r="H367" i="5"/>
  <c r="E367" i="5"/>
  <c r="B367" i="5"/>
  <c r="T355" i="5"/>
  <c r="Q355" i="5"/>
  <c r="N355" i="5"/>
  <c r="K355" i="5"/>
  <c r="H355" i="5"/>
  <c r="E355" i="5"/>
  <c r="B355" i="5"/>
  <c r="T343" i="5"/>
  <c r="Q343" i="5"/>
  <c r="N343" i="5"/>
  <c r="K343" i="5"/>
  <c r="H343" i="5"/>
  <c r="E343" i="5"/>
  <c r="B343" i="5"/>
  <c r="T331" i="5"/>
  <c r="Q331" i="5"/>
  <c r="N331" i="5"/>
  <c r="K331" i="5"/>
  <c r="H331" i="5"/>
  <c r="E331" i="5"/>
  <c r="B331" i="5"/>
  <c r="T319" i="5"/>
  <c r="Q319" i="5"/>
  <c r="N319" i="5"/>
  <c r="K319" i="5"/>
  <c r="H319" i="5"/>
  <c r="E319" i="5"/>
  <c r="B319" i="5"/>
  <c r="T307" i="5"/>
  <c r="Q307" i="5"/>
  <c r="N307" i="5"/>
  <c r="K307" i="5"/>
  <c r="H307" i="5"/>
  <c r="E307" i="5"/>
  <c r="B307" i="5"/>
  <c r="T295" i="5"/>
  <c r="Q295" i="5"/>
  <c r="N295" i="5"/>
  <c r="K295" i="5"/>
  <c r="H295" i="5"/>
  <c r="E295" i="5"/>
  <c r="B295" i="5"/>
  <c r="T283" i="5"/>
  <c r="Q283" i="5"/>
  <c r="N283" i="5"/>
  <c r="K283" i="5"/>
  <c r="H283" i="5"/>
  <c r="E283" i="5"/>
  <c r="B283" i="5"/>
  <c r="T271" i="5"/>
  <c r="Q271" i="5"/>
  <c r="N271" i="5"/>
  <c r="K271" i="5"/>
  <c r="H271" i="5"/>
  <c r="E271" i="5"/>
  <c r="B271" i="5"/>
  <c r="T259" i="5"/>
  <c r="Q259" i="5"/>
  <c r="N259" i="5"/>
  <c r="K259" i="5"/>
  <c r="H259" i="5"/>
  <c r="E259" i="5"/>
  <c r="B259" i="5"/>
  <c r="T247" i="5"/>
  <c r="Q247" i="5"/>
  <c r="N247" i="5"/>
  <c r="K247" i="5"/>
  <c r="H247" i="5"/>
  <c r="E247" i="5"/>
  <c r="B247" i="5"/>
  <c r="T235" i="5"/>
  <c r="Q235" i="5"/>
  <c r="N235" i="5"/>
  <c r="K235" i="5"/>
  <c r="H235" i="5"/>
  <c r="E235" i="5"/>
  <c r="B235" i="5"/>
  <c r="T223" i="5"/>
  <c r="Q223" i="5"/>
  <c r="N223" i="5"/>
  <c r="K223" i="5"/>
  <c r="H223" i="5"/>
  <c r="E223" i="5"/>
  <c r="B223" i="5"/>
  <c r="T211" i="5"/>
  <c r="Q211" i="5"/>
  <c r="N211" i="5"/>
  <c r="K211" i="5"/>
  <c r="H211" i="5"/>
  <c r="E211" i="5"/>
  <c r="B211" i="5"/>
  <c r="T199" i="5"/>
  <c r="Q199" i="5"/>
  <c r="N199" i="5"/>
  <c r="K199" i="5"/>
  <c r="H199" i="5"/>
  <c r="E199" i="5"/>
  <c r="B199" i="5"/>
  <c r="T187" i="5"/>
  <c r="Q187" i="5"/>
  <c r="N187" i="5"/>
  <c r="K187" i="5"/>
  <c r="H187" i="5"/>
  <c r="E187" i="5"/>
  <c r="B187" i="5"/>
  <c r="T175" i="5"/>
  <c r="Q175" i="5"/>
  <c r="N175" i="5"/>
  <c r="K175" i="5"/>
  <c r="H175" i="5"/>
  <c r="E175" i="5"/>
  <c r="B175" i="5"/>
  <c r="T163" i="5"/>
  <c r="Q163" i="5"/>
  <c r="N163" i="5"/>
  <c r="K163" i="5"/>
  <c r="H163" i="5"/>
  <c r="E163" i="5"/>
  <c r="B163" i="5"/>
  <c r="T151" i="5"/>
  <c r="Q151" i="5"/>
  <c r="N151" i="5"/>
  <c r="K151" i="5"/>
  <c r="H151" i="5"/>
  <c r="E151" i="5"/>
  <c r="B151" i="5"/>
  <c r="T139" i="5"/>
  <c r="Q139" i="5"/>
  <c r="N139" i="5"/>
  <c r="K139" i="5"/>
  <c r="H139" i="5"/>
  <c r="E139" i="5"/>
  <c r="B139" i="5"/>
  <c r="T127" i="5"/>
  <c r="Q127" i="5"/>
  <c r="N127" i="5"/>
  <c r="K127" i="5"/>
  <c r="H127" i="5"/>
  <c r="E127" i="5"/>
  <c r="B127" i="5"/>
  <c r="T115" i="5"/>
  <c r="Q115" i="5"/>
  <c r="N115" i="5"/>
  <c r="K115" i="5"/>
  <c r="H115" i="5"/>
  <c r="E115" i="5"/>
  <c r="B115" i="5"/>
  <c r="T103" i="5"/>
  <c r="Q103" i="5"/>
  <c r="N103" i="5"/>
  <c r="K103" i="5"/>
  <c r="H103" i="5"/>
  <c r="E103" i="5"/>
  <c r="B103" i="5"/>
  <c r="T91" i="5"/>
  <c r="Q91" i="5"/>
  <c r="N91" i="5"/>
  <c r="K91" i="5"/>
  <c r="H91" i="5"/>
  <c r="E91" i="5"/>
  <c r="B91" i="5"/>
  <c r="T79" i="5"/>
  <c r="Q79" i="5"/>
  <c r="N79" i="5"/>
  <c r="K79" i="5"/>
  <c r="H79" i="5"/>
  <c r="E79" i="5"/>
  <c r="B79" i="5"/>
  <c r="T67" i="5"/>
  <c r="Q67" i="5"/>
  <c r="N67" i="5"/>
  <c r="K67" i="5"/>
  <c r="H67" i="5"/>
  <c r="E67" i="5"/>
  <c r="B67" i="5"/>
  <c r="T57" i="5"/>
  <c r="Q57" i="5"/>
  <c r="N57" i="5"/>
  <c r="K57" i="5"/>
  <c r="H57" i="5"/>
  <c r="E57" i="5"/>
  <c r="B57" i="5"/>
  <c r="T45" i="5"/>
  <c r="Q45" i="5"/>
  <c r="N45" i="5"/>
  <c r="K45" i="5"/>
  <c r="H45" i="5"/>
  <c r="E45" i="5"/>
  <c r="B45" i="5"/>
  <c r="T34" i="5"/>
  <c r="Q34" i="5"/>
  <c r="N34" i="5"/>
  <c r="K34" i="5"/>
  <c r="H34" i="5"/>
  <c r="E34" i="5"/>
  <c r="B34" i="5"/>
  <c r="T23" i="5"/>
  <c r="Q23" i="5"/>
  <c r="N23" i="5"/>
  <c r="K23" i="5"/>
  <c r="H23" i="5"/>
  <c r="E23" i="5"/>
  <c r="B23" i="5"/>
  <c r="T12" i="5"/>
  <c r="Q12" i="5"/>
  <c r="N12" i="5"/>
  <c r="K12" i="5"/>
  <c r="H12" i="5"/>
  <c r="E12" i="5"/>
  <c r="B12" i="5"/>
  <c r="D8" i="5"/>
  <c r="D9" i="5" s="1"/>
  <c r="D10" i="5" s="1"/>
  <c r="D11" i="5" s="1"/>
  <c r="G4" i="5" s="1"/>
  <c r="G5" i="5" s="1"/>
  <c r="G6" i="5" s="1"/>
  <c r="G7" i="5" s="1"/>
  <c r="G8" i="5" s="1"/>
  <c r="G9" i="5" s="1"/>
  <c r="G10" i="5" s="1"/>
  <c r="G11" i="5" s="1"/>
  <c r="J4" i="5" s="1"/>
  <c r="J5" i="5" s="1"/>
  <c r="J6" i="5" s="1"/>
  <c r="J7" i="5" s="1"/>
  <c r="J8" i="5" s="1"/>
  <c r="J9" i="5" s="1"/>
  <c r="J10" i="5" s="1"/>
  <c r="J11" i="5" s="1"/>
  <c r="M4" i="5" s="1"/>
  <c r="M5" i="5" s="1"/>
  <c r="M6" i="5" s="1"/>
  <c r="M7" i="5" s="1"/>
  <c r="M8" i="5" s="1"/>
  <c r="M9" i="5" s="1"/>
  <c r="M10" i="5" s="1"/>
  <c r="M11" i="5" s="1"/>
  <c r="P4" i="5" s="1"/>
  <c r="P5" i="5" s="1"/>
  <c r="P6" i="5" s="1"/>
  <c r="P7" i="5" s="1"/>
  <c r="P8" i="5" s="1"/>
  <c r="P9" i="5" s="1"/>
  <c r="P10" i="5" s="1"/>
  <c r="P11" i="5" s="1"/>
  <c r="S4" i="5" s="1"/>
  <c r="S5" i="5" s="1"/>
  <c r="S6" i="5" s="1"/>
  <c r="S7" i="5" s="1"/>
  <c r="S8" i="5" s="1"/>
  <c r="S9" i="5" s="1"/>
  <c r="S10" i="5" s="1"/>
  <c r="S11" i="5" s="1"/>
  <c r="V4" i="5" s="1"/>
  <c r="V5" i="5" s="1"/>
  <c r="V6" i="5" s="1"/>
  <c r="V7" i="5" s="1"/>
  <c r="V8" i="5" s="1"/>
  <c r="V9" i="5" s="1"/>
  <c r="V10" i="5" s="1"/>
  <c r="V11" i="5" s="1"/>
  <c r="D13" i="5" s="1"/>
  <c r="D14" i="5" s="1"/>
  <c r="D15" i="5" s="1"/>
  <c r="D16" i="5" s="1"/>
  <c r="D17" i="5" s="1"/>
  <c r="D18" i="5" s="1"/>
  <c r="D19" i="5" s="1"/>
  <c r="D20" i="5" s="1"/>
  <c r="D21" i="5" s="1"/>
  <c r="D22" i="5" s="1"/>
  <c r="G13" i="5" s="1"/>
  <c r="G14" i="5" s="1"/>
  <c r="G15" i="5" s="1"/>
  <c r="G16" i="5" s="1"/>
  <c r="G17" i="5" s="1"/>
  <c r="G18" i="5" s="1"/>
  <c r="G19" i="5" s="1"/>
  <c r="G20" i="5" s="1"/>
  <c r="G21" i="5" s="1"/>
  <c r="G22" i="5" s="1"/>
  <c r="J13" i="5" s="1"/>
  <c r="J14" i="5" s="1"/>
  <c r="J15" i="5" s="1"/>
  <c r="J16" i="5" s="1"/>
  <c r="J17" i="5" s="1"/>
  <c r="J18" i="5" s="1"/>
  <c r="J19" i="5" s="1"/>
  <c r="J20" i="5" s="1"/>
  <c r="J21" i="5" s="1"/>
  <c r="J22" i="5" s="1"/>
  <c r="M13" i="5" s="1"/>
  <c r="M14" i="5" s="1"/>
  <c r="M15" i="5" s="1"/>
  <c r="M16" i="5" s="1"/>
  <c r="M17" i="5" s="1"/>
  <c r="M18" i="5" s="1"/>
  <c r="M19" i="5" s="1"/>
  <c r="M20" i="5" s="1"/>
  <c r="M21" i="5" s="1"/>
  <c r="M22" i="5" s="1"/>
  <c r="P13" i="5" s="1"/>
  <c r="P14" i="5" s="1"/>
  <c r="P15" i="5" s="1"/>
  <c r="P16" i="5" s="1"/>
  <c r="P17" i="5" s="1"/>
  <c r="P18" i="5" s="1"/>
  <c r="P19" i="5" s="1"/>
  <c r="P20" i="5" s="1"/>
  <c r="P21" i="5" s="1"/>
  <c r="P22" i="5" s="1"/>
  <c r="S13" i="5" s="1"/>
  <c r="S14" i="5" s="1"/>
  <c r="S15" i="5" s="1"/>
  <c r="S16" i="5" s="1"/>
  <c r="S17" i="5" s="1"/>
  <c r="S18" i="5" s="1"/>
  <c r="S19" i="5" s="1"/>
  <c r="S20" i="5" s="1"/>
  <c r="S21" i="5" s="1"/>
  <c r="S22" i="5" s="1"/>
  <c r="V13" i="5" s="1"/>
  <c r="V14" i="5" s="1"/>
  <c r="V15" i="5" s="1"/>
  <c r="V16" i="5" s="1"/>
  <c r="V17" i="5" s="1"/>
  <c r="V18" i="5" s="1"/>
  <c r="V19" i="5" s="1"/>
  <c r="V20" i="5" s="1"/>
  <c r="V21" i="5" s="1"/>
  <c r="V22" i="5" s="1"/>
  <c r="D24" i="5" s="1"/>
  <c r="D25" i="5" s="1"/>
  <c r="D26" i="5" s="1"/>
  <c r="D27" i="5" s="1"/>
  <c r="D28" i="5" s="1"/>
  <c r="D29" i="5" s="1"/>
  <c r="D30" i="5" s="1"/>
  <c r="D31" i="5" s="1"/>
  <c r="D32" i="5" s="1"/>
  <c r="D33" i="5" s="1"/>
  <c r="G24" i="5" s="1"/>
  <c r="G25" i="5" s="1"/>
  <c r="G26" i="5" s="1"/>
  <c r="G27" i="5" s="1"/>
  <c r="G28" i="5" s="1"/>
  <c r="G29" i="5" s="1"/>
  <c r="G30" i="5" s="1"/>
  <c r="G31" i="5" s="1"/>
  <c r="G32" i="5" s="1"/>
  <c r="G33" i="5" s="1"/>
  <c r="J24" i="5" s="1"/>
  <c r="J25" i="5" s="1"/>
  <c r="J26" i="5" s="1"/>
  <c r="J27" i="5" s="1"/>
  <c r="J28" i="5" s="1"/>
  <c r="J29" i="5" s="1"/>
  <c r="J30" i="5" s="1"/>
  <c r="J31" i="5" s="1"/>
  <c r="J32" i="5" s="1"/>
  <c r="J33" i="5" s="1"/>
  <c r="M24" i="5" s="1"/>
  <c r="M25" i="5" s="1"/>
  <c r="M26" i="5" s="1"/>
  <c r="M27" i="5" s="1"/>
  <c r="M28" i="5" s="1"/>
  <c r="M29" i="5" s="1"/>
  <c r="M30" i="5" s="1"/>
  <c r="M31" i="5" s="1"/>
  <c r="M32" i="5" s="1"/>
  <c r="M33" i="5" s="1"/>
  <c r="P24" i="5" s="1"/>
  <c r="P25" i="5" s="1"/>
  <c r="P26" i="5" s="1"/>
  <c r="P27" i="5" s="1"/>
  <c r="P28" i="5" s="1"/>
  <c r="P29" i="5" s="1"/>
  <c r="P30" i="5" s="1"/>
  <c r="P31" i="5" s="1"/>
  <c r="P32" i="5" s="1"/>
  <c r="P33" i="5" s="1"/>
  <c r="S24" i="5" s="1"/>
  <c r="S25" i="5" s="1"/>
  <c r="S26" i="5" s="1"/>
  <c r="S27" i="5" s="1"/>
  <c r="S28" i="5" s="1"/>
  <c r="S29" i="5" s="1"/>
  <c r="S30" i="5" s="1"/>
  <c r="S31" i="5" s="1"/>
  <c r="S32" i="5" s="1"/>
  <c r="S33" i="5" s="1"/>
  <c r="V24" i="5" s="1"/>
  <c r="V25" i="5" s="1"/>
  <c r="V26" i="5" s="1"/>
  <c r="V27" i="5" s="1"/>
  <c r="V28" i="5" s="1"/>
  <c r="V29" i="5" s="1"/>
  <c r="V30" i="5" s="1"/>
  <c r="V31" i="5" s="1"/>
  <c r="V32" i="5" s="1"/>
  <c r="V33" i="5" s="1"/>
  <c r="D35" i="5" s="1"/>
  <c r="D36" i="5" s="1"/>
  <c r="D37" i="5" s="1"/>
  <c r="D38" i="5" s="1"/>
  <c r="D39" i="5" s="1"/>
  <c r="D40" i="5" s="1"/>
  <c r="D41" i="5" s="1"/>
  <c r="D42" i="5" s="1"/>
  <c r="D43" i="5" s="1"/>
  <c r="D44" i="5" s="1"/>
  <c r="G35" i="5" s="1"/>
  <c r="G36" i="5" s="1"/>
  <c r="G37" i="5" s="1"/>
  <c r="G38" i="5" s="1"/>
  <c r="G39" i="5" s="1"/>
  <c r="G40" i="5" s="1"/>
  <c r="G41" i="5" s="1"/>
  <c r="G42" i="5" s="1"/>
  <c r="G43" i="5" s="1"/>
  <c r="G44" i="5" s="1"/>
  <c r="J35" i="5" s="1"/>
  <c r="J36" i="5" s="1"/>
  <c r="J37" i="5" s="1"/>
  <c r="J38" i="5" s="1"/>
  <c r="J39" i="5" s="1"/>
  <c r="J40" i="5" s="1"/>
  <c r="J41" i="5" s="1"/>
  <c r="J42" i="5" s="1"/>
  <c r="J43" i="5" s="1"/>
  <c r="J44" i="5" s="1"/>
  <c r="M35" i="5" s="1"/>
  <c r="M36" i="5" s="1"/>
  <c r="M37" i="5" s="1"/>
  <c r="M38" i="5" s="1"/>
  <c r="M39" i="5" s="1"/>
  <c r="M40" i="5" s="1"/>
  <c r="M41" i="5" s="1"/>
  <c r="M42" i="5" s="1"/>
  <c r="M43" i="5" s="1"/>
  <c r="M44" i="5" s="1"/>
  <c r="P35" i="5" s="1"/>
  <c r="P36" i="5" s="1"/>
  <c r="P37" i="5" s="1"/>
  <c r="P38" i="5" s="1"/>
  <c r="P39" i="5" s="1"/>
  <c r="P40" i="5" s="1"/>
  <c r="P41" i="5" s="1"/>
  <c r="P42" i="5" s="1"/>
  <c r="P43" i="5" s="1"/>
  <c r="P44" i="5" s="1"/>
  <c r="S35" i="5" s="1"/>
  <c r="S36" i="5" s="1"/>
  <c r="S37" i="5" s="1"/>
  <c r="S38" i="5" s="1"/>
  <c r="S39" i="5" s="1"/>
  <c r="S40" i="5" s="1"/>
  <c r="S41" i="5" s="1"/>
  <c r="S42" i="5" s="1"/>
  <c r="S43" i="5" s="1"/>
  <c r="S44" i="5" s="1"/>
  <c r="V35" i="5" s="1"/>
  <c r="V36" i="5" s="1"/>
  <c r="V37" i="5" s="1"/>
  <c r="V38" i="5" s="1"/>
  <c r="V39" i="5" s="1"/>
  <c r="V40" i="5" s="1"/>
  <c r="V41" i="5" s="1"/>
  <c r="V42" i="5" s="1"/>
  <c r="V43" i="5" s="1"/>
  <c r="V44" i="5" s="1"/>
  <c r="D46" i="5" s="1"/>
  <c r="D47" i="5" s="1"/>
  <c r="D48" i="5" s="1"/>
  <c r="D49" i="5" s="1"/>
  <c r="D50" i="5" s="1"/>
  <c r="D51" i="5" s="1"/>
  <c r="D52" i="5" s="1"/>
  <c r="D53" i="5" s="1"/>
  <c r="D54" i="5" s="1"/>
  <c r="D55" i="5" s="1"/>
  <c r="D56" i="5" s="1"/>
  <c r="G46" i="5" s="1"/>
  <c r="G47" i="5" s="1"/>
  <c r="G48" i="5" s="1"/>
  <c r="G49" i="5" s="1"/>
  <c r="G50" i="5" s="1"/>
  <c r="G51" i="5" s="1"/>
  <c r="G52" i="5" s="1"/>
  <c r="G53" i="5" s="1"/>
  <c r="G54" i="5" s="1"/>
  <c r="G55" i="5" s="1"/>
  <c r="G56" i="5" s="1"/>
  <c r="J46" i="5" s="1"/>
  <c r="J47" i="5" s="1"/>
  <c r="J48" i="5" s="1"/>
  <c r="J49" i="5" s="1"/>
  <c r="J50" i="5" s="1"/>
  <c r="J51" i="5" s="1"/>
  <c r="J52" i="5" s="1"/>
  <c r="J53" i="5" s="1"/>
  <c r="J54" i="5" s="1"/>
  <c r="J55" i="5" s="1"/>
  <c r="J56" i="5" s="1"/>
  <c r="M46" i="5" s="1"/>
  <c r="M47" i="5" s="1"/>
  <c r="M48" i="5" s="1"/>
  <c r="M49" i="5" s="1"/>
  <c r="M50" i="5" s="1"/>
  <c r="M51" i="5" s="1"/>
  <c r="M52" i="5" s="1"/>
  <c r="M53" i="5" s="1"/>
  <c r="M54" i="5" s="1"/>
  <c r="M55" i="5" s="1"/>
  <c r="M56" i="5" s="1"/>
  <c r="P46" i="5" s="1"/>
  <c r="P47" i="5" s="1"/>
  <c r="P48" i="5" s="1"/>
  <c r="P49" i="5" s="1"/>
  <c r="P50" i="5" s="1"/>
  <c r="P51" i="5" s="1"/>
  <c r="P52" i="5" s="1"/>
  <c r="P53" i="5" s="1"/>
  <c r="P54" i="5" s="1"/>
  <c r="P55" i="5" s="1"/>
  <c r="P56" i="5" s="1"/>
  <c r="S46" i="5" s="1"/>
  <c r="S47" i="5" s="1"/>
  <c r="S48" i="5" s="1"/>
  <c r="S49" i="5" s="1"/>
  <c r="S50" i="5" s="1"/>
  <c r="S51" i="5" s="1"/>
  <c r="S52" i="5" s="1"/>
  <c r="S53" i="5" s="1"/>
  <c r="S54" i="5" s="1"/>
  <c r="S55" i="5" s="1"/>
  <c r="S56" i="5" s="1"/>
  <c r="V46" i="5" s="1"/>
  <c r="V47" i="5" s="1"/>
  <c r="V48" i="5" s="1"/>
  <c r="V49" i="5" s="1"/>
  <c r="V50" i="5" s="1"/>
  <c r="V51" i="5" s="1"/>
  <c r="V52" i="5" s="1"/>
  <c r="V53" i="5" s="1"/>
  <c r="V54" i="5" s="1"/>
  <c r="V55" i="5" s="1"/>
  <c r="V56" i="5" s="1"/>
  <c r="D58" i="5" s="1"/>
  <c r="D59" i="5" s="1"/>
  <c r="D60" i="5" s="1"/>
  <c r="D61" i="5" s="1"/>
  <c r="D62" i="5" s="1"/>
  <c r="D63" i="5" s="1"/>
  <c r="D64" i="5" s="1"/>
  <c r="D65" i="5" s="1"/>
  <c r="D66" i="5" s="1"/>
  <c r="G58" i="5" s="1"/>
  <c r="G59" i="5" s="1"/>
  <c r="G60" i="5" s="1"/>
  <c r="G61" i="5" s="1"/>
  <c r="G62" i="5" s="1"/>
  <c r="G63" i="5" s="1"/>
  <c r="G64" i="5" s="1"/>
  <c r="G65" i="5" s="1"/>
  <c r="G66" i="5" s="1"/>
  <c r="J58" i="5" s="1"/>
  <c r="J59" i="5" s="1"/>
  <c r="J60" i="5" s="1"/>
  <c r="J61" i="5" s="1"/>
  <c r="J62" i="5" s="1"/>
  <c r="J63" i="5" s="1"/>
  <c r="J64" i="5" s="1"/>
  <c r="J65" i="5" s="1"/>
  <c r="J66" i="5" s="1"/>
  <c r="M58" i="5" s="1"/>
  <c r="M59" i="5" s="1"/>
  <c r="M60" i="5" s="1"/>
  <c r="M61" i="5" s="1"/>
  <c r="M62" i="5" s="1"/>
  <c r="M63" i="5" s="1"/>
  <c r="M64" i="5" s="1"/>
  <c r="M65" i="5" s="1"/>
  <c r="M66" i="5" s="1"/>
  <c r="P58" i="5" s="1"/>
  <c r="P59" i="5" s="1"/>
  <c r="P60" i="5" s="1"/>
  <c r="P61" i="5" s="1"/>
  <c r="P62" i="5" s="1"/>
  <c r="P63" i="5" s="1"/>
  <c r="P64" i="5" s="1"/>
  <c r="P65" i="5" s="1"/>
  <c r="P66" i="5" s="1"/>
  <c r="S58" i="5" s="1"/>
  <c r="S59" i="5" s="1"/>
  <c r="S60" i="5" s="1"/>
  <c r="S61" i="5" s="1"/>
  <c r="S62" i="5" s="1"/>
  <c r="S63" i="5" s="1"/>
  <c r="S64" i="5" s="1"/>
  <c r="S65" i="5" s="1"/>
  <c r="S66" i="5" s="1"/>
  <c r="V58" i="5" s="1"/>
  <c r="V59" i="5" s="1"/>
  <c r="V60" i="5" s="1"/>
  <c r="V61" i="5" s="1"/>
  <c r="V62" i="5" s="1"/>
  <c r="V63" i="5" s="1"/>
  <c r="V64" i="5" s="1"/>
  <c r="V65" i="5" s="1"/>
  <c r="V66" i="5" s="1"/>
  <c r="D68" i="5" s="1"/>
  <c r="D69" i="5" s="1"/>
  <c r="D70" i="5" s="1"/>
  <c r="D71" i="5" s="1"/>
  <c r="D72" i="5" s="1"/>
  <c r="D73" i="5" s="1"/>
  <c r="D74" i="5" s="1"/>
  <c r="D75" i="5" s="1"/>
  <c r="D76" i="5" s="1"/>
  <c r="D77" i="5" s="1"/>
  <c r="D78" i="5" s="1"/>
  <c r="G68" i="5" s="1"/>
  <c r="G69" i="5" s="1"/>
  <c r="G70" i="5" s="1"/>
  <c r="G71" i="5" s="1"/>
  <c r="G72" i="5" s="1"/>
  <c r="G73" i="5" s="1"/>
  <c r="G74" i="5" s="1"/>
  <c r="G75" i="5" s="1"/>
  <c r="G76" i="5" s="1"/>
  <c r="G77" i="5" s="1"/>
  <c r="G78" i="5" s="1"/>
  <c r="J68" i="5" s="1"/>
  <c r="J69" i="5" s="1"/>
  <c r="J70" i="5" s="1"/>
  <c r="J71" i="5" s="1"/>
  <c r="J72" i="5" s="1"/>
  <c r="J73" i="5" s="1"/>
  <c r="J74" i="5" s="1"/>
  <c r="J75" i="5" s="1"/>
  <c r="J76" i="5" s="1"/>
  <c r="J77" i="5" s="1"/>
  <c r="J78" i="5" s="1"/>
  <c r="M68" i="5" s="1"/>
  <c r="M69" i="5" s="1"/>
  <c r="M70" i="5" s="1"/>
  <c r="M71" i="5" s="1"/>
  <c r="M72" i="5" s="1"/>
  <c r="M73" i="5" s="1"/>
  <c r="M74" i="5" s="1"/>
  <c r="M75" i="5" s="1"/>
  <c r="M76" i="5" s="1"/>
  <c r="M77" i="5" s="1"/>
  <c r="M78" i="5" s="1"/>
  <c r="P68" i="5" s="1"/>
  <c r="P69" i="5" s="1"/>
  <c r="P70" i="5" s="1"/>
  <c r="P71" i="5" s="1"/>
  <c r="P72" i="5" s="1"/>
  <c r="P73" i="5" s="1"/>
  <c r="P74" i="5" s="1"/>
  <c r="P75" i="5" s="1"/>
  <c r="P76" i="5" s="1"/>
  <c r="P77" i="5" s="1"/>
  <c r="P78" i="5" s="1"/>
  <c r="S68" i="5" s="1"/>
  <c r="S69" i="5" s="1"/>
  <c r="S70" i="5" s="1"/>
  <c r="S71" i="5" s="1"/>
  <c r="S72" i="5" s="1"/>
  <c r="S73" i="5" s="1"/>
  <c r="S74" i="5" s="1"/>
  <c r="S75" i="5" s="1"/>
  <c r="S76" i="5" s="1"/>
  <c r="S77" i="5" s="1"/>
  <c r="S78" i="5" s="1"/>
  <c r="V68" i="5" s="1"/>
  <c r="V69" i="5" s="1"/>
  <c r="V70" i="5" s="1"/>
  <c r="V71" i="5" s="1"/>
  <c r="V72" i="5" s="1"/>
  <c r="V73" i="5" s="1"/>
  <c r="V74" i="5" s="1"/>
  <c r="V75" i="5" s="1"/>
  <c r="V76" i="5" s="1"/>
  <c r="V77" i="5" s="1"/>
  <c r="V78" i="5" s="1"/>
  <c r="D80" i="5" s="1"/>
  <c r="D81" i="5" s="1"/>
  <c r="D82" i="5" s="1"/>
  <c r="D83" i="5" s="1"/>
  <c r="D84" i="5" s="1"/>
  <c r="D85" i="5" s="1"/>
  <c r="D86" i="5" s="1"/>
  <c r="D87" i="5" s="1"/>
  <c r="D88" i="5" s="1"/>
  <c r="D89" i="5" s="1"/>
  <c r="D90" i="5" s="1"/>
  <c r="G80" i="5" s="1"/>
  <c r="G81" i="5" s="1"/>
  <c r="G82" i="5" s="1"/>
  <c r="G83" i="5" s="1"/>
  <c r="G84" i="5" s="1"/>
  <c r="G85" i="5" s="1"/>
  <c r="G86" i="5" s="1"/>
  <c r="G87" i="5" s="1"/>
  <c r="G88" i="5" s="1"/>
  <c r="G89" i="5" s="1"/>
  <c r="G90" i="5" s="1"/>
  <c r="J80" i="5" s="1"/>
  <c r="J81" i="5" s="1"/>
  <c r="J82" i="5" s="1"/>
  <c r="J83" i="5" s="1"/>
  <c r="J84" i="5" s="1"/>
  <c r="J85" i="5" s="1"/>
  <c r="J86" i="5" s="1"/>
  <c r="J87" i="5" s="1"/>
  <c r="J88" i="5" s="1"/>
  <c r="J89" i="5" s="1"/>
  <c r="J90" i="5" s="1"/>
  <c r="M80" i="5" s="1"/>
  <c r="M81" i="5" s="1"/>
  <c r="M82" i="5" s="1"/>
  <c r="M83" i="5" s="1"/>
  <c r="M84" i="5" s="1"/>
  <c r="M85" i="5" s="1"/>
  <c r="M86" i="5" s="1"/>
  <c r="M87" i="5" s="1"/>
  <c r="M88" i="5" s="1"/>
  <c r="M89" i="5" s="1"/>
  <c r="M90" i="5" s="1"/>
  <c r="P80" i="5" s="1"/>
  <c r="P81" i="5" s="1"/>
  <c r="P82" i="5" s="1"/>
  <c r="P83" i="5" s="1"/>
  <c r="P84" i="5" s="1"/>
  <c r="P85" i="5" s="1"/>
  <c r="P86" i="5" s="1"/>
  <c r="P87" i="5" s="1"/>
  <c r="P88" i="5" s="1"/>
  <c r="P89" i="5" s="1"/>
  <c r="P90" i="5" s="1"/>
  <c r="S80" i="5" s="1"/>
  <c r="S81" i="5" s="1"/>
  <c r="S82" i="5" s="1"/>
  <c r="S83" i="5" s="1"/>
  <c r="S84" i="5" s="1"/>
  <c r="S85" i="5" s="1"/>
  <c r="S86" i="5" s="1"/>
  <c r="S87" i="5" s="1"/>
  <c r="S88" i="5" s="1"/>
  <c r="S89" i="5" s="1"/>
  <c r="S90" i="5" s="1"/>
  <c r="V80" i="5" s="1"/>
  <c r="V81" i="5" s="1"/>
  <c r="V82" i="5" s="1"/>
  <c r="V83" i="5" s="1"/>
  <c r="V84" i="5" s="1"/>
  <c r="V85" i="5" s="1"/>
  <c r="V86" i="5" s="1"/>
  <c r="V87" i="5" s="1"/>
  <c r="V88" i="5" s="1"/>
  <c r="V89" i="5" s="1"/>
  <c r="V90" i="5" s="1"/>
  <c r="D92" i="5" s="1"/>
  <c r="D93" i="5" s="1"/>
  <c r="D94" i="5" s="1"/>
  <c r="D95" i="5" s="1"/>
  <c r="D96" i="5" s="1"/>
  <c r="D97" i="5" s="1"/>
  <c r="D98" i="5" s="1"/>
  <c r="D99" i="5" s="1"/>
  <c r="D100" i="5" s="1"/>
  <c r="D101" i="5" s="1"/>
  <c r="D102" i="5" s="1"/>
  <c r="G92" i="5" s="1"/>
  <c r="G93" i="5" s="1"/>
  <c r="G94" i="5" s="1"/>
  <c r="G95" i="5" s="1"/>
  <c r="G96" i="5" s="1"/>
  <c r="G97" i="5" s="1"/>
  <c r="G98" i="5" s="1"/>
  <c r="G99" i="5" s="1"/>
  <c r="G100" i="5" s="1"/>
  <c r="G101" i="5" s="1"/>
  <c r="G102" i="5" s="1"/>
  <c r="J92" i="5" s="1"/>
  <c r="J93" i="5" s="1"/>
  <c r="J94" i="5" s="1"/>
  <c r="J95" i="5" s="1"/>
  <c r="J96" i="5" s="1"/>
  <c r="J97" i="5" s="1"/>
  <c r="J98" i="5" s="1"/>
  <c r="J99" i="5" s="1"/>
  <c r="J100" i="5" s="1"/>
  <c r="J101" i="5" s="1"/>
  <c r="J102" i="5" s="1"/>
  <c r="M92" i="5" s="1"/>
  <c r="M93" i="5" s="1"/>
  <c r="M94" i="5" s="1"/>
  <c r="M95" i="5" s="1"/>
  <c r="M96" i="5" s="1"/>
  <c r="M97" i="5" s="1"/>
  <c r="M98" i="5" s="1"/>
  <c r="M99" i="5" s="1"/>
  <c r="M100" i="5" s="1"/>
  <c r="M101" i="5" s="1"/>
  <c r="M102" i="5" s="1"/>
  <c r="P92" i="5" s="1"/>
  <c r="P93" i="5" s="1"/>
  <c r="P94" i="5" s="1"/>
  <c r="P95" i="5" s="1"/>
  <c r="P96" i="5" s="1"/>
  <c r="P97" i="5" s="1"/>
  <c r="P98" i="5" s="1"/>
  <c r="P99" i="5" s="1"/>
  <c r="P100" i="5" s="1"/>
  <c r="P101" i="5" s="1"/>
  <c r="P102" i="5" s="1"/>
  <c r="S92" i="5" s="1"/>
  <c r="S93" i="5" s="1"/>
  <c r="S94" i="5" s="1"/>
  <c r="S95" i="5" s="1"/>
  <c r="S96" i="5" s="1"/>
  <c r="S97" i="5" s="1"/>
  <c r="S98" i="5" s="1"/>
  <c r="S99" i="5" s="1"/>
  <c r="S100" i="5" s="1"/>
  <c r="S101" i="5" s="1"/>
  <c r="S102" i="5" s="1"/>
  <c r="V92" i="5" s="1"/>
  <c r="V93" i="5" s="1"/>
  <c r="V94" i="5" s="1"/>
  <c r="V95" i="5" s="1"/>
  <c r="V96" i="5" s="1"/>
  <c r="V97" i="5" s="1"/>
  <c r="V98" i="5" s="1"/>
  <c r="V99" i="5" s="1"/>
  <c r="V100" i="5" s="1"/>
  <c r="V101" i="5" s="1"/>
  <c r="V102" i="5" s="1"/>
  <c r="D104" i="5" s="1"/>
  <c r="D105" i="5" s="1"/>
  <c r="D106" i="5" s="1"/>
  <c r="D107" i="5" s="1"/>
  <c r="D108" i="5" s="1"/>
  <c r="D109" i="5" s="1"/>
  <c r="D110" i="5" s="1"/>
  <c r="D111" i="5" s="1"/>
  <c r="D112" i="5" s="1"/>
  <c r="D113" i="5" s="1"/>
  <c r="D114" i="5" s="1"/>
  <c r="G104" i="5" s="1"/>
  <c r="G105" i="5" s="1"/>
  <c r="G106" i="5" s="1"/>
  <c r="G107" i="5" s="1"/>
  <c r="G108" i="5" s="1"/>
  <c r="G109" i="5" s="1"/>
  <c r="G110" i="5" s="1"/>
  <c r="G111" i="5" s="1"/>
  <c r="G112" i="5" s="1"/>
  <c r="G113" i="5" s="1"/>
  <c r="G114" i="5" s="1"/>
  <c r="J104" i="5" s="1"/>
  <c r="J105" i="5" s="1"/>
  <c r="J106" i="5" s="1"/>
  <c r="J107" i="5" s="1"/>
  <c r="J108" i="5" s="1"/>
  <c r="J109" i="5" s="1"/>
  <c r="J110" i="5" s="1"/>
  <c r="J111" i="5" s="1"/>
  <c r="J112" i="5" s="1"/>
  <c r="J113" i="5" s="1"/>
  <c r="J114" i="5" s="1"/>
  <c r="M104" i="5" s="1"/>
  <c r="M105" i="5" s="1"/>
  <c r="M106" i="5" s="1"/>
  <c r="M107" i="5" s="1"/>
  <c r="M108" i="5" s="1"/>
  <c r="M109" i="5" s="1"/>
  <c r="M110" i="5" s="1"/>
  <c r="M111" i="5" s="1"/>
  <c r="M112" i="5" s="1"/>
  <c r="M113" i="5" s="1"/>
  <c r="M114" i="5" s="1"/>
  <c r="P104" i="5" s="1"/>
  <c r="P105" i="5" s="1"/>
  <c r="P106" i="5" s="1"/>
  <c r="P107" i="5" s="1"/>
  <c r="P108" i="5" s="1"/>
  <c r="P109" i="5" s="1"/>
  <c r="P110" i="5" s="1"/>
  <c r="P111" i="5" s="1"/>
  <c r="P112" i="5" s="1"/>
  <c r="P113" i="5" s="1"/>
  <c r="P114" i="5" s="1"/>
  <c r="S104" i="5" s="1"/>
  <c r="S105" i="5" s="1"/>
  <c r="S106" i="5" s="1"/>
  <c r="S107" i="5" s="1"/>
  <c r="S108" i="5" s="1"/>
  <c r="S109" i="5" s="1"/>
  <c r="S110" i="5" s="1"/>
  <c r="S111" i="5" s="1"/>
  <c r="S112" i="5" s="1"/>
  <c r="S113" i="5" s="1"/>
  <c r="S114" i="5" s="1"/>
  <c r="V104" i="5" s="1"/>
  <c r="V105" i="5" s="1"/>
  <c r="V106" i="5" s="1"/>
  <c r="V107" i="5" s="1"/>
  <c r="V108" i="5" s="1"/>
  <c r="V109" i="5" s="1"/>
  <c r="V110" i="5" s="1"/>
  <c r="V111" i="5" s="1"/>
  <c r="V112" i="5" s="1"/>
  <c r="V113" i="5" s="1"/>
  <c r="V114" i="5" s="1"/>
  <c r="D116" i="5" s="1"/>
  <c r="D117" i="5" s="1"/>
  <c r="D118" i="5" s="1"/>
  <c r="D119" i="5" s="1"/>
  <c r="D120" i="5" s="1"/>
  <c r="D121" i="5" s="1"/>
  <c r="D122" i="5" s="1"/>
  <c r="D123" i="5" s="1"/>
  <c r="D124" i="5" s="1"/>
  <c r="D125" i="5" s="1"/>
  <c r="D126" i="5" s="1"/>
  <c r="G116" i="5" s="1"/>
  <c r="G117" i="5" s="1"/>
  <c r="G118" i="5" s="1"/>
  <c r="G119" i="5" s="1"/>
  <c r="G120" i="5" s="1"/>
  <c r="G121" i="5" s="1"/>
  <c r="G122" i="5" s="1"/>
  <c r="G123" i="5" s="1"/>
  <c r="G124" i="5" s="1"/>
  <c r="G125" i="5" s="1"/>
  <c r="G126" i="5" s="1"/>
  <c r="J116" i="5" s="1"/>
  <c r="J117" i="5" s="1"/>
  <c r="J118" i="5" s="1"/>
  <c r="J119" i="5" s="1"/>
  <c r="J120" i="5" s="1"/>
  <c r="J121" i="5" s="1"/>
  <c r="J122" i="5" s="1"/>
  <c r="J123" i="5" s="1"/>
  <c r="J124" i="5" s="1"/>
  <c r="J125" i="5" s="1"/>
  <c r="J126" i="5" s="1"/>
  <c r="M116" i="5" s="1"/>
  <c r="M117" i="5" s="1"/>
  <c r="M118" i="5" s="1"/>
  <c r="M119" i="5" s="1"/>
  <c r="M120" i="5" s="1"/>
  <c r="M121" i="5" s="1"/>
  <c r="M122" i="5" s="1"/>
  <c r="M123" i="5" s="1"/>
  <c r="M124" i="5" s="1"/>
  <c r="M125" i="5" s="1"/>
  <c r="M126" i="5" s="1"/>
  <c r="P116" i="5" s="1"/>
  <c r="P117" i="5" s="1"/>
  <c r="P118" i="5" s="1"/>
  <c r="P119" i="5" s="1"/>
  <c r="P120" i="5" s="1"/>
  <c r="P121" i="5" s="1"/>
  <c r="P122" i="5" s="1"/>
  <c r="P123" i="5" s="1"/>
  <c r="P124" i="5" s="1"/>
  <c r="P125" i="5" s="1"/>
  <c r="P126" i="5" s="1"/>
  <c r="S116" i="5" s="1"/>
  <c r="S117" i="5" s="1"/>
  <c r="S118" i="5" s="1"/>
  <c r="S119" i="5" s="1"/>
  <c r="S120" i="5" s="1"/>
  <c r="S121" i="5" s="1"/>
  <c r="S122" i="5" s="1"/>
  <c r="S123" i="5" s="1"/>
  <c r="S124" i="5" s="1"/>
  <c r="S125" i="5" s="1"/>
  <c r="S126" i="5" s="1"/>
  <c r="V116" i="5" s="1"/>
  <c r="V117" i="5" s="1"/>
  <c r="V118" i="5" s="1"/>
  <c r="V119" i="5" s="1"/>
  <c r="V120" i="5" s="1"/>
  <c r="V121" i="5" s="1"/>
  <c r="V122" i="5" s="1"/>
  <c r="V123" i="5" s="1"/>
  <c r="V124" i="5" s="1"/>
  <c r="V125" i="5" s="1"/>
  <c r="V126" i="5" s="1"/>
  <c r="D128" i="5" s="1"/>
  <c r="D129" i="5" s="1"/>
  <c r="D130" i="5" s="1"/>
  <c r="D131" i="5" s="1"/>
  <c r="D132" i="5" s="1"/>
  <c r="D133" i="5" s="1"/>
  <c r="D134" i="5" s="1"/>
  <c r="D135" i="5" s="1"/>
  <c r="D136" i="5" s="1"/>
  <c r="D137" i="5" s="1"/>
  <c r="D138" i="5" s="1"/>
  <c r="G128" i="5" s="1"/>
  <c r="G129" i="5" s="1"/>
  <c r="G130" i="5" s="1"/>
  <c r="G131" i="5" s="1"/>
  <c r="G132" i="5" s="1"/>
  <c r="G133" i="5" s="1"/>
  <c r="G134" i="5" s="1"/>
  <c r="G135" i="5" s="1"/>
  <c r="G136" i="5" s="1"/>
  <c r="G137" i="5" s="1"/>
  <c r="G138" i="5" s="1"/>
  <c r="J128" i="5" s="1"/>
  <c r="J129" i="5" s="1"/>
  <c r="J130" i="5" s="1"/>
  <c r="J131" i="5" s="1"/>
  <c r="J132" i="5" s="1"/>
  <c r="J133" i="5" s="1"/>
  <c r="J134" i="5" s="1"/>
  <c r="J135" i="5" s="1"/>
  <c r="J136" i="5" s="1"/>
  <c r="J137" i="5" s="1"/>
  <c r="J138" i="5" s="1"/>
  <c r="M128" i="5" s="1"/>
  <c r="M129" i="5" s="1"/>
  <c r="M130" i="5" s="1"/>
  <c r="M131" i="5" s="1"/>
  <c r="M132" i="5" s="1"/>
  <c r="M133" i="5" s="1"/>
  <c r="M134" i="5" s="1"/>
  <c r="M135" i="5" s="1"/>
  <c r="M136" i="5" s="1"/>
  <c r="M137" i="5" s="1"/>
  <c r="M138" i="5" s="1"/>
  <c r="P128" i="5" s="1"/>
  <c r="P129" i="5" s="1"/>
  <c r="P130" i="5" s="1"/>
  <c r="P131" i="5" s="1"/>
  <c r="P132" i="5" s="1"/>
  <c r="P133" i="5" s="1"/>
  <c r="P134" i="5" s="1"/>
  <c r="P135" i="5" s="1"/>
  <c r="P136" i="5" s="1"/>
  <c r="P137" i="5" s="1"/>
  <c r="P138" i="5" s="1"/>
  <c r="S128" i="5" s="1"/>
  <c r="S129" i="5" s="1"/>
  <c r="S130" i="5" s="1"/>
  <c r="S131" i="5" s="1"/>
  <c r="S132" i="5" s="1"/>
  <c r="S133" i="5" s="1"/>
  <c r="S134" i="5" s="1"/>
  <c r="S135" i="5" s="1"/>
  <c r="S136" i="5" s="1"/>
  <c r="S137" i="5" s="1"/>
  <c r="S138" i="5" s="1"/>
  <c r="V128" i="5" s="1"/>
  <c r="V129" i="5" s="1"/>
  <c r="V130" i="5" s="1"/>
  <c r="V131" i="5" s="1"/>
  <c r="V132" i="5" s="1"/>
  <c r="V133" i="5" s="1"/>
  <c r="V134" i="5" s="1"/>
  <c r="V135" i="5" s="1"/>
  <c r="V136" i="5" s="1"/>
  <c r="V137" i="5" s="1"/>
  <c r="V138" i="5" s="1"/>
  <c r="D140" i="5" s="1"/>
  <c r="D141" i="5" s="1"/>
  <c r="D142" i="5" s="1"/>
  <c r="D143" i="5" s="1"/>
  <c r="D144" i="5" s="1"/>
  <c r="D145" i="5" s="1"/>
  <c r="D146" i="5" s="1"/>
  <c r="D147" i="5" s="1"/>
  <c r="D148" i="5" s="1"/>
  <c r="D149" i="5" s="1"/>
  <c r="D150" i="5" s="1"/>
  <c r="G140" i="5" s="1"/>
  <c r="G141" i="5" s="1"/>
  <c r="G142" i="5" s="1"/>
  <c r="G143" i="5" s="1"/>
  <c r="G144" i="5" s="1"/>
  <c r="G145" i="5" s="1"/>
  <c r="G146" i="5" s="1"/>
  <c r="G147" i="5" s="1"/>
  <c r="G148" i="5" s="1"/>
  <c r="G149" i="5" s="1"/>
  <c r="G150" i="5" s="1"/>
  <c r="J140" i="5" s="1"/>
  <c r="J141" i="5" s="1"/>
  <c r="J142" i="5" s="1"/>
  <c r="J143" i="5" s="1"/>
  <c r="J144" i="5" s="1"/>
  <c r="J145" i="5" s="1"/>
  <c r="J146" i="5" s="1"/>
  <c r="J147" i="5" s="1"/>
  <c r="J148" i="5" s="1"/>
  <c r="J149" i="5" s="1"/>
  <c r="J150" i="5" s="1"/>
  <c r="M140" i="5" s="1"/>
  <c r="M141" i="5" s="1"/>
  <c r="M142" i="5" s="1"/>
  <c r="M143" i="5" s="1"/>
  <c r="M144" i="5" s="1"/>
  <c r="M145" i="5" s="1"/>
  <c r="M146" i="5" s="1"/>
  <c r="M147" i="5" s="1"/>
  <c r="M148" i="5" s="1"/>
  <c r="M149" i="5" s="1"/>
  <c r="M150" i="5" s="1"/>
  <c r="P140" i="5" s="1"/>
  <c r="P141" i="5" s="1"/>
  <c r="P142" i="5" s="1"/>
  <c r="P143" i="5" s="1"/>
  <c r="P144" i="5" s="1"/>
  <c r="P145" i="5" s="1"/>
  <c r="P146" i="5" s="1"/>
  <c r="P147" i="5" s="1"/>
  <c r="P148" i="5" s="1"/>
  <c r="P149" i="5" s="1"/>
  <c r="P150" i="5" s="1"/>
  <c r="S140" i="5" s="1"/>
  <c r="S141" i="5" s="1"/>
  <c r="S142" i="5" s="1"/>
  <c r="S143" i="5" s="1"/>
  <c r="S144" i="5" s="1"/>
  <c r="S145" i="5" s="1"/>
  <c r="S146" i="5" s="1"/>
  <c r="S147" i="5" s="1"/>
  <c r="S148" i="5" s="1"/>
  <c r="S149" i="5" s="1"/>
  <c r="S150" i="5" s="1"/>
  <c r="V140" i="5" s="1"/>
  <c r="V141" i="5" s="1"/>
  <c r="V142" i="5" s="1"/>
  <c r="V143" i="5" s="1"/>
  <c r="V144" i="5" s="1"/>
  <c r="V145" i="5" s="1"/>
  <c r="V146" i="5" s="1"/>
  <c r="V147" i="5" s="1"/>
  <c r="V148" i="5" s="1"/>
  <c r="V149" i="5" s="1"/>
  <c r="V150" i="5" s="1"/>
  <c r="D152" i="5" s="1"/>
  <c r="D153" i="5" s="1"/>
  <c r="D154" i="5" s="1"/>
  <c r="D155" i="5" s="1"/>
  <c r="D156" i="5" s="1"/>
  <c r="D157" i="5" s="1"/>
  <c r="D158" i="5" s="1"/>
  <c r="D159" i="5" s="1"/>
  <c r="D160" i="5" s="1"/>
  <c r="D161" i="5" s="1"/>
  <c r="D162" i="5" s="1"/>
  <c r="G152" i="5" s="1"/>
  <c r="G153" i="5" s="1"/>
  <c r="G154" i="5" s="1"/>
  <c r="G155" i="5" s="1"/>
  <c r="G156" i="5" s="1"/>
  <c r="G157" i="5" s="1"/>
  <c r="G158" i="5" s="1"/>
  <c r="G159" i="5" s="1"/>
  <c r="G160" i="5" s="1"/>
  <c r="G161" i="5" s="1"/>
  <c r="G162" i="5" s="1"/>
  <c r="J152" i="5" s="1"/>
  <c r="J153" i="5" s="1"/>
  <c r="J154" i="5" s="1"/>
  <c r="J155" i="5" s="1"/>
  <c r="J156" i="5" s="1"/>
  <c r="J157" i="5" s="1"/>
  <c r="J158" i="5" s="1"/>
  <c r="J159" i="5" s="1"/>
  <c r="J160" i="5" s="1"/>
  <c r="J161" i="5" s="1"/>
  <c r="J162" i="5" s="1"/>
  <c r="M152" i="5" s="1"/>
  <c r="M153" i="5" s="1"/>
  <c r="M154" i="5" s="1"/>
  <c r="M155" i="5" s="1"/>
  <c r="M156" i="5" s="1"/>
  <c r="M157" i="5" s="1"/>
  <c r="M158" i="5" s="1"/>
  <c r="M159" i="5" s="1"/>
  <c r="M160" i="5" s="1"/>
  <c r="M161" i="5" s="1"/>
  <c r="M162" i="5" s="1"/>
  <c r="P152" i="5" s="1"/>
  <c r="P153" i="5" s="1"/>
  <c r="P154" i="5" s="1"/>
  <c r="P155" i="5" s="1"/>
  <c r="P156" i="5" s="1"/>
  <c r="P157" i="5" s="1"/>
  <c r="P158" i="5" s="1"/>
  <c r="P159" i="5" s="1"/>
  <c r="P160" i="5" s="1"/>
  <c r="P161" i="5" s="1"/>
  <c r="P162" i="5" s="1"/>
  <c r="S152" i="5" s="1"/>
  <c r="S153" i="5" s="1"/>
  <c r="S154" i="5" s="1"/>
  <c r="S155" i="5" s="1"/>
  <c r="S156" i="5" s="1"/>
  <c r="S157" i="5" s="1"/>
  <c r="S158" i="5" s="1"/>
  <c r="S159" i="5" s="1"/>
  <c r="S160" i="5" s="1"/>
  <c r="S161" i="5" s="1"/>
  <c r="S162" i="5" s="1"/>
  <c r="V152" i="5" s="1"/>
  <c r="V153" i="5" s="1"/>
  <c r="V154" i="5" s="1"/>
  <c r="V155" i="5" s="1"/>
  <c r="V156" i="5" s="1"/>
  <c r="V157" i="5" s="1"/>
  <c r="V158" i="5" s="1"/>
  <c r="V159" i="5" s="1"/>
  <c r="V160" i="5" s="1"/>
  <c r="V161" i="5" s="1"/>
  <c r="V162" i="5" s="1"/>
  <c r="D164" i="5" s="1"/>
  <c r="D165" i="5" s="1"/>
  <c r="D166" i="5" s="1"/>
  <c r="D167" i="5" s="1"/>
  <c r="D168" i="5" s="1"/>
  <c r="D169" i="5" s="1"/>
  <c r="D170" i="5" s="1"/>
  <c r="D171" i="5" s="1"/>
  <c r="D172" i="5" s="1"/>
  <c r="D173" i="5" s="1"/>
  <c r="D174" i="5" s="1"/>
  <c r="G164" i="5" s="1"/>
  <c r="G165" i="5" s="1"/>
  <c r="G166" i="5" s="1"/>
  <c r="G167" i="5" s="1"/>
  <c r="G168" i="5" s="1"/>
  <c r="G169" i="5" s="1"/>
  <c r="G170" i="5" s="1"/>
  <c r="G171" i="5" s="1"/>
  <c r="G172" i="5" s="1"/>
  <c r="G173" i="5" s="1"/>
  <c r="G174" i="5" s="1"/>
  <c r="J164" i="5" s="1"/>
  <c r="J165" i="5" s="1"/>
  <c r="J166" i="5" s="1"/>
  <c r="J167" i="5" s="1"/>
  <c r="J168" i="5" s="1"/>
  <c r="J169" i="5" s="1"/>
  <c r="J170" i="5" s="1"/>
  <c r="J171" i="5" s="1"/>
  <c r="J172" i="5" s="1"/>
  <c r="J173" i="5" s="1"/>
  <c r="J174" i="5" s="1"/>
  <c r="M164" i="5" s="1"/>
  <c r="M165" i="5" s="1"/>
  <c r="M166" i="5" s="1"/>
  <c r="M167" i="5" s="1"/>
  <c r="M168" i="5" s="1"/>
  <c r="M169" i="5" s="1"/>
  <c r="M170" i="5" s="1"/>
  <c r="M171" i="5" s="1"/>
  <c r="M172" i="5" s="1"/>
  <c r="M173" i="5" s="1"/>
  <c r="M174" i="5" s="1"/>
  <c r="P164" i="5" s="1"/>
  <c r="P165" i="5" s="1"/>
  <c r="P166" i="5" s="1"/>
  <c r="P167" i="5" s="1"/>
  <c r="P168" i="5" s="1"/>
  <c r="P169" i="5" s="1"/>
  <c r="P170" i="5" s="1"/>
  <c r="P171" i="5" s="1"/>
  <c r="P172" i="5" s="1"/>
  <c r="P173" i="5" s="1"/>
  <c r="P174" i="5" s="1"/>
  <c r="S164" i="5" s="1"/>
  <c r="S165" i="5" s="1"/>
  <c r="S166" i="5" s="1"/>
  <c r="S167" i="5" s="1"/>
  <c r="S168" i="5" s="1"/>
  <c r="S169" i="5" s="1"/>
  <c r="S170" i="5" s="1"/>
  <c r="S171" i="5" s="1"/>
  <c r="S172" i="5" s="1"/>
  <c r="S173" i="5" s="1"/>
  <c r="S174" i="5" s="1"/>
  <c r="V164" i="5" s="1"/>
  <c r="V165" i="5" s="1"/>
  <c r="V166" i="5" s="1"/>
  <c r="V167" i="5" s="1"/>
  <c r="V168" i="5" s="1"/>
  <c r="V169" i="5" s="1"/>
  <c r="V170" i="5" s="1"/>
  <c r="V171" i="5" s="1"/>
  <c r="V172" i="5" s="1"/>
  <c r="V173" i="5" s="1"/>
  <c r="V174" i="5" s="1"/>
  <c r="D176" i="5" s="1"/>
  <c r="D177" i="5" s="1"/>
  <c r="D178" i="5" s="1"/>
  <c r="D179" i="5" s="1"/>
  <c r="D180" i="5" s="1"/>
  <c r="D181" i="5" s="1"/>
  <c r="D182" i="5" s="1"/>
  <c r="D183" i="5" s="1"/>
  <c r="D184" i="5" s="1"/>
  <c r="D185" i="5" s="1"/>
  <c r="D186" i="5" s="1"/>
  <c r="G176" i="5" s="1"/>
  <c r="G177" i="5" s="1"/>
  <c r="G178" i="5" s="1"/>
  <c r="G179" i="5" s="1"/>
  <c r="G180" i="5" s="1"/>
  <c r="G181" i="5" s="1"/>
  <c r="G182" i="5" s="1"/>
  <c r="G183" i="5" s="1"/>
  <c r="G184" i="5" s="1"/>
  <c r="G185" i="5" s="1"/>
  <c r="G186" i="5" s="1"/>
  <c r="J176" i="5" s="1"/>
  <c r="J177" i="5" s="1"/>
  <c r="J178" i="5" s="1"/>
  <c r="J179" i="5" s="1"/>
  <c r="J180" i="5" s="1"/>
  <c r="J181" i="5" s="1"/>
  <c r="J182" i="5" s="1"/>
  <c r="J183" i="5" s="1"/>
  <c r="J184" i="5" s="1"/>
  <c r="J185" i="5" s="1"/>
  <c r="J186" i="5" s="1"/>
  <c r="M176" i="5" s="1"/>
  <c r="M177" i="5" s="1"/>
  <c r="M178" i="5" s="1"/>
  <c r="M179" i="5" s="1"/>
  <c r="M180" i="5" s="1"/>
  <c r="M181" i="5" s="1"/>
  <c r="M182" i="5" s="1"/>
  <c r="M183" i="5" s="1"/>
  <c r="M184" i="5" s="1"/>
  <c r="M185" i="5" s="1"/>
  <c r="M186" i="5" s="1"/>
  <c r="P176" i="5" s="1"/>
  <c r="P177" i="5" s="1"/>
  <c r="P178" i="5" s="1"/>
  <c r="P179" i="5" s="1"/>
  <c r="P180" i="5" s="1"/>
  <c r="P181" i="5" s="1"/>
  <c r="P182" i="5" s="1"/>
  <c r="P183" i="5" s="1"/>
  <c r="P184" i="5" s="1"/>
  <c r="P185" i="5" s="1"/>
  <c r="P186" i="5" s="1"/>
  <c r="S176" i="5" s="1"/>
  <c r="S177" i="5" s="1"/>
  <c r="S178" i="5" s="1"/>
  <c r="S179" i="5" s="1"/>
  <c r="S180" i="5" s="1"/>
  <c r="S181" i="5" s="1"/>
  <c r="S182" i="5" s="1"/>
  <c r="S183" i="5" s="1"/>
  <c r="S184" i="5" s="1"/>
  <c r="S185" i="5" s="1"/>
  <c r="S186" i="5" s="1"/>
  <c r="V176" i="5" s="1"/>
  <c r="V177" i="5" s="1"/>
  <c r="V178" i="5" s="1"/>
  <c r="V179" i="5" s="1"/>
  <c r="V180" i="5" s="1"/>
  <c r="V181" i="5" s="1"/>
  <c r="V182" i="5" s="1"/>
  <c r="V183" i="5" s="1"/>
  <c r="V184" i="5" s="1"/>
  <c r="V185" i="5" s="1"/>
  <c r="V186" i="5" s="1"/>
  <c r="D188" i="5" s="1"/>
  <c r="D189" i="5" s="1"/>
  <c r="D190" i="5" s="1"/>
  <c r="D191" i="5" s="1"/>
  <c r="D192" i="5" s="1"/>
  <c r="D193" i="5" s="1"/>
  <c r="D194" i="5" s="1"/>
  <c r="D195" i="5" s="1"/>
  <c r="D196" i="5" s="1"/>
  <c r="D197" i="5" s="1"/>
  <c r="D198" i="5" s="1"/>
  <c r="G188" i="5" s="1"/>
  <c r="G189" i="5" s="1"/>
  <c r="G190" i="5" s="1"/>
  <c r="G191" i="5" s="1"/>
  <c r="G192" i="5" s="1"/>
  <c r="G193" i="5" s="1"/>
  <c r="G194" i="5" s="1"/>
  <c r="G195" i="5" s="1"/>
  <c r="G196" i="5" s="1"/>
  <c r="G197" i="5" s="1"/>
  <c r="G198" i="5" s="1"/>
  <c r="J188" i="5" s="1"/>
  <c r="J189" i="5" s="1"/>
  <c r="J190" i="5" s="1"/>
  <c r="J191" i="5" s="1"/>
  <c r="J192" i="5" s="1"/>
  <c r="J193" i="5" s="1"/>
  <c r="J194" i="5" s="1"/>
  <c r="J195" i="5" s="1"/>
  <c r="J196" i="5" s="1"/>
  <c r="J197" i="5" s="1"/>
  <c r="J198" i="5" s="1"/>
  <c r="M188" i="5" s="1"/>
  <c r="M189" i="5" s="1"/>
  <c r="M190" i="5" s="1"/>
  <c r="M191" i="5" s="1"/>
  <c r="M192" i="5" s="1"/>
  <c r="M193" i="5" s="1"/>
  <c r="M194" i="5" s="1"/>
  <c r="M195" i="5" s="1"/>
  <c r="M196" i="5" s="1"/>
  <c r="M197" i="5" s="1"/>
  <c r="M198" i="5" s="1"/>
  <c r="P188" i="5" s="1"/>
  <c r="P189" i="5" s="1"/>
  <c r="P190" i="5" s="1"/>
  <c r="P191" i="5" s="1"/>
  <c r="P192" i="5" s="1"/>
  <c r="P193" i="5" s="1"/>
  <c r="P194" i="5" s="1"/>
  <c r="P195" i="5" s="1"/>
  <c r="P196" i="5" s="1"/>
  <c r="P197" i="5" s="1"/>
  <c r="P198" i="5" s="1"/>
  <c r="S188" i="5" s="1"/>
  <c r="S189" i="5" s="1"/>
  <c r="S190" i="5" s="1"/>
  <c r="S191" i="5" s="1"/>
  <c r="S192" i="5" s="1"/>
  <c r="S193" i="5" s="1"/>
  <c r="S194" i="5" s="1"/>
  <c r="S195" i="5" s="1"/>
  <c r="S196" i="5" s="1"/>
  <c r="S197" i="5" s="1"/>
  <c r="S198" i="5" s="1"/>
  <c r="V188" i="5" s="1"/>
  <c r="V189" i="5" s="1"/>
  <c r="V190" i="5" s="1"/>
  <c r="V191" i="5" s="1"/>
  <c r="V192" i="5" s="1"/>
  <c r="V193" i="5" s="1"/>
  <c r="V194" i="5" s="1"/>
  <c r="V195" i="5" s="1"/>
  <c r="V196" i="5" s="1"/>
  <c r="V197" i="5" s="1"/>
  <c r="V198" i="5" s="1"/>
  <c r="D200" i="5" s="1"/>
  <c r="D201" i="5" s="1"/>
  <c r="D202" i="5" s="1"/>
  <c r="D203" i="5" s="1"/>
  <c r="D204" i="5" s="1"/>
  <c r="D205" i="5" s="1"/>
  <c r="D206" i="5" s="1"/>
  <c r="D207" i="5" s="1"/>
  <c r="D208" i="5" s="1"/>
  <c r="D209" i="5" s="1"/>
  <c r="D210" i="5" s="1"/>
  <c r="G200" i="5" s="1"/>
  <c r="G201" i="5" s="1"/>
  <c r="G202" i="5" s="1"/>
  <c r="G203" i="5" s="1"/>
  <c r="G204" i="5" s="1"/>
  <c r="G205" i="5" s="1"/>
  <c r="G206" i="5" s="1"/>
  <c r="G207" i="5" s="1"/>
  <c r="G208" i="5" s="1"/>
  <c r="G209" i="5" s="1"/>
  <c r="G210" i="5" s="1"/>
  <c r="J200" i="5" s="1"/>
  <c r="J201" i="5" s="1"/>
  <c r="J202" i="5" s="1"/>
  <c r="J203" i="5" s="1"/>
  <c r="J204" i="5" s="1"/>
  <c r="J205" i="5" s="1"/>
  <c r="J206" i="5" s="1"/>
  <c r="J207" i="5" s="1"/>
  <c r="J208" i="5" s="1"/>
  <c r="J209" i="5" s="1"/>
  <c r="J210" i="5" s="1"/>
  <c r="M200" i="5" s="1"/>
  <c r="M201" i="5" s="1"/>
  <c r="M202" i="5" s="1"/>
  <c r="M203" i="5" s="1"/>
  <c r="M204" i="5" s="1"/>
  <c r="M205" i="5" s="1"/>
  <c r="M206" i="5" s="1"/>
  <c r="M207" i="5" s="1"/>
  <c r="M208" i="5" s="1"/>
  <c r="M209" i="5" s="1"/>
  <c r="M210" i="5" s="1"/>
  <c r="P200" i="5" s="1"/>
  <c r="P201" i="5" s="1"/>
  <c r="P202" i="5" s="1"/>
  <c r="P203" i="5" s="1"/>
  <c r="P204" i="5" s="1"/>
  <c r="P205" i="5" s="1"/>
  <c r="P206" i="5" s="1"/>
  <c r="P207" i="5" s="1"/>
  <c r="P208" i="5" s="1"/>
  <c r="P209" i="5" s="1"/>
  <c r="P210" i="5" s="1"/>
  <c r="S200" i="5" s="1"/>
  <c r="S201" i="5" s="1"/>
  <c r="S202" i="5" s="1"/>
  <c r="S203" i="5" s="1"/>
  <c r="S204" i="5" s="1"/>
  <c r="S205" i="5" s="1"/>
  <c r="S206" i="5" s="1"/>
  <c r="S207" i="5" s="1"/>
  <c r="S208" i="5" s="1"/>
  <c r="S209" i="5" s="1"/>
  <c r="S210" i="5" s="1"/>
  <c r="V200" i="5" s="1"/>
  <c r="V201" i="5" s="1"/>
  <c r="V202" i="5" s="1"/>
  <c r="V203" i="5" s="1"/>
  <c r="V204" i="5" s="1"/>
  <c r="V205" i="5" s="1"/>
  <c r="V206" i="5" s="1"/>
  <c r="V207" i="5" s="1"/>
  <c r="V208" i="5" s="1"/>
  <c r="V209" i="5" s="1"/>
  <c r="V210" i="5" s="1"/>
  <c r="D212" i="5" s="1"/>
  <c r="D213" i="5" s="1"/>
  <c r="D214" i="5" s="1"/>
  <c r="D215" i="5" s="1"/>
  <c r="D216" i="5" s="1"/>
  <c r="D217" i="5" s="1"/>
  <c r="D218" i="5" s="1"/>
  <c r="D219" i="5" s="1"/>
  <c r="D220" i="5" s="1"/>
  <c r="D221" i="5" s="1"/>
  <c r="D222" i="5" s="1"/>
  <c r="G212" i="5" s="1"/>
  <c r="G213" i="5" s="1"/>
  <c r="G214" i="5" s="1"/>
  <c r="G215" i="5" s="1"/>
  <c r="G216" i="5" s="1"/>
  <c r="G217" i="5" s="1"/>
  <c r="G218" i="5" s="1"/>
  <c r="G219" i="5" s="1"/>
  <c r="G220" i="5" s="1"/>
  <c r="G221" i="5" s="1"/>
  <c r="G222" i="5" s="1"/>
  <c r="J212" i="5" s="1"/>
  <c r="J213" i="5" s="1"/>
  <c r="J214" i="5" s="1"/>
  <c r="J215" i="5" s="1"/>
  <c r="J216" i="5" s="1"/>
  <c r="J217" i="5" s="1"/>
  <c r="J218" i="5" s="1"/>
  <c r="J219" i="5" s="1"/>
  <c r="J220" i="5" s="1"/>
  <c r="J221" i="5" s="1"/>
  <c r="J222" i="5" s="1"/>
  <c r="M212" i="5" s="1"/>
  <c r="M213" i="5" s="1"/>
  <c r="M214" i="5" s="1"/>
  <c r="M215" i="5" s="1"/>
  <c r="M216" i="5" s="1"/>
  <c r="M217" i="5" s="1"/>
  <c r="M218" i="5" s="1"/>
  <c r="M219" i="5" s="1"/>
  <c r="M220" i="5" s="1"/>
  <c r="M221" i="5" s="1"/>
  <c r="M222" i="5" s="1"/>
  <c r="P212" i="5" s="1"/>
  <c r="P213" i="5" s="1"/>
  <c r="P214" i="5" s="1"/>
  <c r="P215" i="5" s="1"/>
  <c r="P216" i="5" s="1"/>
  <c r="P217" i="5" s="1"/>
  <c r="P218" i="5" s="1"/>
  <c r="P219" i="5" s="1"/>
  <c r="P220" i="5" s="1"/>
  <c r="P221" i="5" s="1"/>
  <c r="P222" i="5" s="1"/>
  <c r="S212" i="5" s="1"/>
  <c r="S213" i="5" s="1"/>
  <c r="S214" i="5" s="1"/>
  <c r="S215" i="5" s="1"/>
  <c r="S216" i="5" s="1"/>
  <c r="S217" i="5" s="1"/>
  <c r="S218" i="5" s="1"/>
  <c r="S219" i="5" s="1"/>
  <c r="S220" i="5" s="1"/>
  <c r="S221" i="5" s="1"/>
  <c r="S222" i="5" s="1"/>
  <c r="V212" i="5" s="1"/>
  <c r="V213" i="5" s="1"/>
  <c r="V214" i="5" s="1"/>
  <c r="V215" i="5" s="1"/>
  <c r="V216" i="5" s="1"/>
  <c r="V217" i="5" s="1"/>
  <c r="V218" i="5" s="1"/>
  <c r="V219" i="5" s="1"/>
  <c r="V220" i="5" s="1"/>
  <c r="V221" i="5" s="1"/>
  <c r="V222" i="5" s="1"/>
  <c r="D224" i="5" s="1"/>
  <c r="D225" i="5" s="1"/>
  <c r="D226" i="5" s="1"/>
  <c r="D227" i="5" s="1"/>
  <c r="D228" i="5" s="1"/>
  <c r="D229" i="5" s="1"/>
  <c r="D230" i="5" s="1"/>
  <c r="D231" i="5" s="1"/>
  <c r="D232" i="5" s="1"/>
  <c r="D233" i="5" s="1"/>
  <c r="D234" i="5" s="1"/>
  <c r="G224" i="5" s="1"/>
  <c r="G225" i="5" s="1"/>
  <c r="G226" i="5" s="1"/>
  <c r="G227" i="5" s="1"/>
  <c r="G228" i="5" s="1"/>
  <c r="G229" i="5" s="1"/>
  <c r="G230" i="5" s="1"/>
  <c r="G231" i="5" s="1"/>
  <c r="G232" i="5" s="1"/>
  <c r="G233" i="5" s="1"/>
  <c r="G234" i="5" s="1"/>
  <c r="J224" i="5" s="1"/>
  <c r="J225" i="5" s="1"/>
  <c r="J226" i="5" s="1"/>
  <c r="J227" i="5" s="1"/>
  <c r="J228" i="5" s="1"/>
  <c r="J229" i="5" s="1"/>
  <c r="J230" i="5" s="1"/>
  <c r="J231" i="5" s="1"/>
  <c r="J232" i="5" s="1"/>
  <c r="J233" i="5" s="1"/>
  <c r="J234" i="5" s="1"/>
  <c r="M224" i="5" s="1"/>
  <c r="M225" i="5" s="1"/>
  <c r="M226" i="5" s="1"/>
  <c r="M227" i="5" s="1"/>
  <c r="M228" i="5" s="1"/>
  <c r="M229" i="5" s="1"/>
  <c r="M230" i="5" s="1"/>
  <c r="M231" i="5" s="1"/>
  <c r="M232" i="5" s="1"/>
  <c r="M233" i="5" s="1"/>
  <c r="M234" i="5" s="1"/>
  <c r="P224" i="5" s="1"/>
  <c r="P225" i="5" s="1"/>
  <c r="P226" i="5" s="1"/>
  <c r="P227" i="5" s="1"/>
  <c r="P228" i="5" s="1"/>
  <c r="P229" i="5" s="1"/>
  <c r="P230" i="5" s="1"/>
  <c r="P231" i="5" s="1"/>
  <c r="P232" i="5" s="1"/>
  <c r="P233" i="5" s="1"/>
  <c r="P234" i="5" s="1"/>
  <c r="S224" i="5" s="1"/>
  <c r="S225" i="5" s="1"/>
  <c r="S226" i="5" s="1"/>
  <c r="S227" i="5" s="1"/>
  <c r="S228" i="5" s="1"/>
  <c r="S229" i="5" s="1"/>
  <c r="S230" i="5" s="1"/>
  <c r="S231" i="5" s="1"/>
  <c r="S232" i="5" s="1"/>
  <c r="S233" i="5" s="1"/>
  <c r="S234" i="5" s="1"/>
  <c r="V224" i="5" s="1"/>
  <c r="V225" i="5" s="1"/>
  <c r="V226" i="5" s="1"/>
  <c r="V227" i="5" s="1"/>
  <c r="V228" i="5" s="1"/>
  <c r="V229" i="5" s="1"/>
  <c r="V230" i="5" s="1"/>
  <c r="V231" i="5" s="1"/>
  <c r="V232" i="5" s="1"/>
  <c r="V233" i="5" s="1"/>
  <c r="V234" i="5" s="1"/>
  <c r="D236" i="5" s="1"/>
  <c r="D237" i="5" s="1"/>
  <c r="D238" i="5" s="1"/>
  <c r="D239" i="5" s="1"/>
  <c r="D240" i="5" s="1"/>
  <c r="D241" i="5" s="1"/>
  <c r="D242" i="5" s="1"/>
  <c r="D243" i="5" s="1"/>
  <c r="D244" i="5" s="1"/>
  <c r="D245" i="5" s="1"/>
  <c r="D246" i="5" s="1"/>
  <c r="G236" i="5" s="1"/>
  <c r="G237" i="5" s="1"/>
  <c r="G238" i="5" s="1"/>
  <c r="G239" i="5" s="1"/>
  <c r="G240" i="5" s="1"/>
  <c r="G241" i="5" s="1"/>
  <c r="G242" i="5" s="1"/>
  <c r="G243" i="5" s="1"/>
  <c r="G244" i="5" s="1"/>
  <c r="G245" i="5" s="1"/>
  <c r="G246" i="5" s="1"/>
  <c r="J236" i="5" s="1"/>
  <c r="J237" i="5" s="1"/>
  <c r="J238" i="5" s="1"/>
  <c r="J239" i="5" s="1"/>
  <c r="J240" i="5" s="1"/>
  <c r="J241" i="5" s="1"/>
  <c r="J242" i="5" s="1"/>
  <c r="J243" i="5" s="1"/>
  <c r="J244" i="5" s="1"/>
  <c r="J245" i="5" s="1"/>
  <c r="J246" i="5" s="1"/>
  <c r="M236" i="5" s="1"/>
  <c r="M237" i="5" s="1"/>
  <c r="M238" i="5" s="1"/>
  <c r="M239" i="5" s="1"/>
  <c r="M240" i="5" s="1"/>
  <c r="M241" i="5" s="1"/>
  <c r="M242" i="5" s="1"/>
  <c r="M243" i="5" s="1"/>
  <c r="M244" i="5" s="1"/>
  <c r="M245" i="5" s="1"/>
  <c r="M246" i="5" s="1"/>
  <c r="P236" i="5" s="1"/>
  <c r="P237" i="5" s="1"/>
  <c r="P238" i="5" s="1"/>
  <c r="P239" i="5" s="1"/>
  <c r="P240" i="5" s="1"/>
  <c r="P241" i="5" s="1"/>
  <c r="P242" i="5" s="1"/>
  <c r="P243" i="5" s="1"/>
  <c r="P244" i="5" s="1"/>
  <c r="P245" i="5" s="1"/>
  <c r="P246" i="5" s="1"/>
  <c r="S236" i="5" s="1"/>
  <c r="S237" i="5" s="1"/>
  <c r="S238" i="5" s="1"/>
  <c r="S239" i="5" s="1"/>
  <c r="S240" i="5" s="1"/>
  <c r="S241" i="5" s="1"/>
  <c r="S242" i="5" s="1"/>
  <c r="S243" i="5" s="1"/>
  <c r="S244" i="5" s="1"/>
  <c r="S245" i="5" s="1"/>
  <c r="S246" i="5" s="1"/>
  <c r="V236" i="5" s="1"/>
  <c r="V237" i="5" s="1"/>
  <c r="V238" i="5" s="1"/>
  <c r="V239" i="5" s="1"/>
  <c r="V240" i="5" s="1"/>
  <c r="V241" i="5" s="1"/>
  <c r="V242" i="5" s="1"/>
  <c r="V243" i="5" s="1"/>
  <c r="V244" i="5" s="1"/>
  <c r="V245" i="5" s="1"/>
  <c r="V246" i="5" s="1"/>
  <c r="D248" i="5" s="1"/>
  <c r="D249" i="5" s="1"/>
  <c r="D250" i="5" s="1"/>
  <c r="D251" i="5" s="1"/>
  <c r="D252" i="5" s="1"/>
  <c r="D253" i="5" s="1"/>
  <c r="D254" i="5" s="1"/>
  <c r="D255" i="5" s="1"/>
  <c r="D256" i="5" s="1"/>
  <c r="D257" i="5" s="1"/>
  <c r="D258" i="5" s="1"/>
  <c r="G248" i="5" s="1"/>
  <c r="G249" i="5" s="1"/>
  <c r="G250" i="5" s="1"/>
  <c r="G251" i="5" s="1"/>
  <c r="G252" i="5" s="1"/>
  <c r="G253" i="5" s="1"/>
  <c r="G254" i="5" s="1"/>
  <c r="G255" i="5" s="1"/>
  <c r="G256" i="5" s="1"/>
  <c r="G257" i="5" s="1"/>
  <c r="G258" i="5" s="1"/>
  <c r="J248" i="5" s="1"/>
  <c r="J249" i="5" s="1"/>
  <c r="J250" i="5" s="1"/>
  <c r="J251" i="5" s="1"/>
  <c r="J252" i="5" s="1"/>
  <c r="J253" i="5" s="1"/>
  <c r="J254" i="5" s="1"/>
  <c r="J255" i="5" s="1"/>
  <c r="J256" i="5" s="1"/>
  <c r="J257" i="5" s="1"/>
  <c r="J258" i="5" s="1"/>
  <c r="M248" i="5" s="1"/>
  <c r="M249" i="5" s="1"/>
  <c r="M250" i="5" s="1"/>
  <c r="M251" i="5" s="1"/>
  <c r="M252" i="5" s="1"/>
  <c r="M253" i="5" s="1"/>
  <c r="M254" i="5" s="1"/>
  <c r="M255" i="5" s="1"/>
  <c r="M256" i="5" s="1"/>
  <c r="M257" i="5" s="1"/>
  <c r="M258" i="5" s="1"/>
  <c r="P248" i="5" s="1"/>
  <c r="P249" i="5" s="1"/>
  <c r="P250" i="5" s="1"/>
  <c r="P251" i="5" s="1"/>
  <c r="P252" i="5" s="1"/>
  <c r="P253" i="5" s="1"/>
  <c r="P254" i="5" s="1"/>
  <c r="P255" i="5" s="1"/>
  <c r="P256" i="5" s="1"/>
  <c r="P257" i="5" s="1"/>
  <c r="P258" i="5" s="1"/>
  <c r="S248" i="5" s="1"/>
  <c r="S249" i="5" s="1"/>
  <c r="S250" i="5" s="1"/>
  <c r="S251" i="5" s="1"/>
  <c r="S252" i="5" s="1"/>
  <c r="S253" i="5" s="1"/>
  <c r="S254" i="5" s="1"/>
  <c r="S255" i="5" s="1"/>
  <c r="S256" i="5" s="1"/>
  <c r="S257" i="5" s="1"/>
  <c r="S258" i="5" s="1"/>
  <c r="V248" i="5" s="1"/>
  <c r="V249" i="5" s="1"/>
  <c r="V250" i="5" s="1"/>
  <c r="V251" i="5" s="1"/>
  <c r="V252" i="5" s="1"/>
  <c r="V253" i="5" s="1"/>
  <c r="V254" i="5" s="1"/>
  <c r="V255" i="5" s="1"/>
  <c r="V256" i="5" s="1"/>
  <c r="V257" i="5" s="1"/>
  <c r="V258" i="5" s="1"/>
  <c r="D260" i="5" s="1"/>
  <c r="D261" i="5" s="1"/>
  <c r="D262" i="5" s="1"/>
  <c r="D263" i="5" s="1"/>
  <c r="D264" i="5" s="1"/>
  <c r="D265" i="5" s="1"/>
  <c r="D266" i="5" s="1"/>
  <c r="D267" i="5" s="1"/>
  <c r="D268" i="5" s="1"/>
  <c r="D269" i="5" s="1"/>
  <c r="D270" i="5" s="1"/>
  <c r="G260" i="5" s="1"/>
  <c r="G261" i="5" s="1"/>
  <c r="G262" i="5" s="1"/>
  <c r="G263" i="5" s="1"/>
  <c r="G264" i="5" s="1"/>
  <c r="G265" i="5" s="1"/>
  <c r="G266" i="5" s="1"/>
  <c r="G267" i="5" s="1"/>
  <c r="G268" i="5" s="1"/>
  <c r="G269" i="5" s="1"/>
  <c r="G270" i="5" s="1"/>
  <c r="J260" i="5" s="1"/>
  <c r="J261" i="5" s="1"/>
  <c r="J262" i="5" s="1"/>
  <c r="J263" i="5" s="1"/>
  <c r="J264" i="5" s="1"/>
  <c r="J265" i="5" s="1"/>
  <c r="J266" i="5" s="1"/>
  <c r="J267" i="5" s="1"/>
  <c r="J268" i="5" s="1"/>
  <c r="J269" i="5" s="1"/>
  <c r="J270" i="5" s="1"/>
  <c r="M260" i="5" s="1"/>
  <c r="M261" i="5" s="1"/>
  <c r="M262" i="5" s="1"/>
  <c r="M263" i="5" s="1"/>
  <c r="M264" i="5" s="1"/>
  <c r="M265" i="5" s="1"/>
  <c r="M266" i="5" s="1"/>
  <c r="M267" i="5" s="1"/>
  <c r="M268" i="5" s="1"/>
  <c r="M269" i="5" s="1"/>
  <c r="M270" i="5" s="1"/>
  <c r="P260" i="5" s="1"/>
  <c r="P261" i="5" s="1"/>
  <c r="P262" i="5" s="1"/>
  <c r="P263" i="5" s="1"/>
  <c r="P264" i="5" s="1"/>
  <c r="P265" i="5" s="1"/>
  <c r="P266" i="5" s="1"/>
  <c r="P267" i="5" s="1"/>
  <c r="P268" i="5" s="1"/>
  <c r="P269" i="5" s="1"/>
  <c r="P270" i="5" s="1"/>
  <c r="S260" i="5" s="1"/>
  <c r="S261" i="5" s="1"/>
  <c r="S262" i="5" s="1"/>
  <c r="S263" i="5" s="1"/>
  <c r="S264" i="5" s="1"/>
  <c r="S265" i="5" s="1"/>
  <c r="S266" i="5" s="1"/>
  <c r="S267" i="5" s="1"/>
  <c r="S268" i="5" s="1"/>
  <c r="S269" i="5" s="1"/>
  <c r="S270" i="5" s="1"/>
  <c r="V260" i="5" s="1"/>
  <c r="V261" i="5" s="1"/>
  <c r="V262" i="5" s="1"/>
  <c r="V263" i="5" s="1"/>
  <c r="V264" i="5" s="1"/>
  <c r="V265" i="5" s="1"/>
  <c r="V266" i="5" s="1"/>
  <c r="V267" i="5" s="1"/>
  <c r="V268" i="5" s="1"/>
  <c r="V269" i="5" s="1"/>
  <c r="V270" i="5" s="1"/>
  <c r="D272" i="5" s="1"/>
  <c r="D273" i="5" s="1"/>
  <c r="D274" i="5" s="1"/>
  <c r="D275" i="5" s="1"/>
  <c r="D276" i="5" s="1"/>
  <c r="D277" i="5" s="1"/>
  <c r="D278" i="5" s="1"/>
  <c r="D279" i="5" s="1"/>
  <c r="D280" i="5" s="1"/>
  <c r="D281" i="5" s="1"/>
  <c r="D282" i="5" s="1"/>
  <c r="G272" i="5" s="1"/>
  <c r="G273" i="5" s="1"/>
  <c r="G274" i="5" s="1"/>
  <c r="G275" i="5" s="1"/>
  <c r="G276" i="5" s="1"/>
  <c r="G277" i="5" s="1"/>
  <c r="G278" i="5" s="1"/>
  <c r="G279" i="5" s="1"/>
  <c r="G280" i="5" s="1"/>
  <c r="G281" i="5" s="1"/>
  <c r="G282" i="5" s="1"/>
  <c r="J272" i="5" s="1"/>
  <c r="J273" i="5" s="1"/>
  <c r="J274" i="5" s="1"/>
  <c r="J275" i="5" s="1"/>
  <c r="J276" i="5" s="1"/>
  <c r="J277" i="5" s="1"/>
  <c r="J278" i="5" s="1"/>
  <c r="J279" i="5" s="1"/>
  <c r="J280" i="5" s="1"/>
  <c r="J281" i="5" s="1"/>
  <c r="J282" i="5" s="1"/>
  <c r="M272" i="5" s="1"/>
  <c r="M273" i="5" s="1"/>
  <c r="M274" i="5" s="1"/>
  <c r="M275" i="5" s="1"/>
  <c r="M276" i="5" s="1"/>
  <c r="M277" i="5" s="1"/>
  <c r="M278" i="5" s="1"/>
  <c r="M279" i="5" s="1"/>
  <c r="M280" i="5" s="1"/>
  <c r="M281" i="5" s="1"/>
  <c r="M282" i="5" s="1"/>
  <c r="P272" i="5" s="1"/>
  <c r="P273" i="5" s="1"/>
  <c r="P274" i="5" s="1"/>
  <c r="P275" i="5" s="1"/>
  <c r="P276" i="5" s="1"/>
  <c r="P277" i="5" s="1"/>
  <c r="P278" i="5" s="1"/>
  <c r="P279" i="5" s="1"/>
  <c r="P280" i="5" s="1"/>
  <c r="P281" i="5" s="1"/>
  <c r="P282" i="5" s="1"/>
  <c r="S272" i="5" s="1"/>
  <c r="S273" i="5" s="1"/>
  <c r="S274" i="5" s="1"/>
  <c r="S275" i="5" s="1"/>
  <c r="S276" i="5" s="1"/>
  <c r="S277" i="5" s="1"/>
  <c r="S278" i="5" s="1"/>
  <c r="S279" i="5" s="1"/>
  <c r="S280" i="5" s="1"/>
  <c r="S281" i="5" s="1"/>
  <c r="S282" i="5" s="1"/>
  <c r="V272" i="5" s="1"/>
  <c r="V273" i="5" s="1"/>
  <c r="V274" i="5" s="1"/>
  <c r="V275" i="5" s="1"/>
  <c r="V276" i="5" s="1"/>
  <c r="V277" i="5" s="1"/>
  <c r="V278" i="5" s="1"/>
  <c r="V279" i="5" s="1"/>
  <c r="V280" i="5" s="1"/>
  <c r="V281" i="5" s="1"/>
  <c r="V282" i="5" s="1"/>
  <c r="D284" i="5" s="1"/>
  <c r="D285" i="5" s="1"/>
  <c r="D286" i="5" s="1"/>
  <c r="D287" i="5" s="1"/>
  <c r="D288" i="5" s="1"/>
  <c r="D289" i="5" s="1"/>
  <c r="D290" i="5" s="1"/>
  <c r="D291" i="5" s="1"/>
  <c r="D292" i="5" s="1"/>
  <c r="D293" i="5" s="1"/>
  <c r="D294" i="5" s="1"/>
  <c r="G284" i="5" s="1"/>
  <c r="G285" i="5" s="1"/>
  <c r="G286" i="5" s="1"/>
  <c r="G287" i="5" s="1"/>
  <c r="G288" i="5" s="1"/>
  <c r="G289" i="5" s="1"/>
  <c r="G290" i="5" s="1"/>
  <c r="G291" i="5" s="1"/>
  <c r="G292" i="5" s="1"/>
  <c r="G293" i="5" s="1"/>
  <c r="G294" i="5" s="1"/>
  <c r="J284" i="5" s="1"/>
  <c r="J285" i="5" s="1"/>
  <c r="J286" i="5" s="1"/>
  <c r="J287" i="5" s="1"/>
  <c r="J288" i="5" s="1"/>
  <c r="J289" i="5" s="1"/>
  <c r="J290" i="5" s="1"/>
  <c r="J291" i="5" s="1"/>
  <c r="J292" i="5" s="1"/>
  <c r="J293" i="5" s="1"/>
  <c r="J294" i="5" s="1"/>
  <c r="M284" i="5" s="1"/>
  <c r="M285" i="5" s="1"/>
  <c r="M286" i="5" s="1"/>
  <c r="M287" i="5" s="1"/>
  <c r="M288" i="5" s="1"/>
  <c r="M289" i="5" s="1"/>
  <c r="M290" i="5" s="1"/>
  <c r="M291" i="5" s="1"/>
  <c r="M292" i="5" s="1"/>
  <c r="M293" i="5" s="1"/>
  <c r="M294" i="5" s="1"/>
  <c r="P284" i="5" s="1"/>
  <c r="P285" i="5" s="1"/>
  <c r="P286" i="5" s="1"/>
  <c r="P287" i="5" s="1"/>
  <c r="P288" i="5" s="1"/>
  <c r="P289" i="5" s="1"/>
  <c r="P290" i="5" s="1"/>
  <c r="P291" i="5" s="1"/>
  <c r="P292" i="5" s="1"/>
  <c r="P293" i="5" s="1"/>
  <c r="P294" i="5" s="1"/>
  <c r="S284" i="5" s="1"/>
  <c r="S285" i="5" s="1"/>
  <c r="S286" i="5" s="1"/>
  <c r="S287" i="5" s="1"/>
  <c r="S288" i="5" s="1"/>
  <c r="S289" i="5" s="1"/>
  <c r="S290" i="5" s="1"/>
  <c r="S291" i="5" s="1"/>
  <c r="S292" i="5" s="1"/>
  <c r="S293" i="5" s="1"/>
  <c r="S294" i="5" s="1"/>
  <c r="V284" i="5" s="1"/>
  <c r="V285" i="5" s="1"/>
  <c r="V286" i="5" s="1"/>
  <c r="V287" i="5" s="1"/>
  <c r="V288" i="5" s="1"/>
  <c r="V289" i="5" s="1"/>
  <c r="V290" i="5" s="1"/>
  <c r="V291" i="5" s="1"/>
  <c r="V292" i="5" s="1"/>
  <c r="V293" i="5" s="1"/>
  <c r="V294" i="5" s="1"/>
  <c r="D296" i="5" s="1"/>
  <c r="D297" i="5" s="1"/>
  <c r="D298" i="5" s="1"/>
  <c r="D299" i="5" s="1"/>
  <c r="D300" i="5" s="1"/>
  <c r="D301" i="5" s="1"/>
  <c r="D302" i="5" s="1"/>
  <c r="D303" i="5" s="1"/>
  <c r="D304" i="5" s="1"/>
  <c r="D305" i="5" s="1"/>
  <c r="D306" i="5" s="1"/>
  <c r="G296" i="5" s="1"/>
  <c r="G297" i="5" s="1"/>
  <c r="G298" i="5" s="1"/>
  <c r="G299" i="5" s="1"/>
  <c r="G300" i="5" s="1"/>
  <c r="G301" i="5" s="1"/>
  <c r="G302" i="5" s="1"/>
  <c r="G303" i="5" s="1"/>
  <c r="G304" i="5" s="1"/>
  <c r="G305" i="5" s="1"/>
  <c r="G306" i="5" s="1"/>
  <c r="J296" i="5" s="1"/>
  <c r="J297" i="5" s="1"/>
  <c r="J298" i="5" s="1"/>
  <c r="J299" i="5" s="1"/>
  <c r="J300" i="5" s="1"/>
  <c r="J301" i="5" s="1"/>
  <c r="J302" i="5" s="1"/>
  <c r="J303" i="5" s="1"/>
  <c r="J304" i="5" s="1"/>
  <c r="J305" i="5" s="1"/>
  <c r="J306" i="5" s="1"/>
  <c r="M296" i="5" s="1"/>
  <c r="M297" i="5" s="1"/>
  <c r="M298" i="5" s="1"/>
  <c r="M299" i="5" s="1"/>
  <c r="M300" i="5" s="1"/>
  <c r="M301" i="5" s="1"/>
  <c r="M302" i="5" s="1"/>
  <c r="M303" i="5" s="1"/>
  <c r="M304" i="5" s="1"/>
  <c r="M305" i="5" s="1"/>
  <c r="M306" i="5" s="1"/>
  <c r="P296" i="5" s="1"/>
  <c r="P297" i="5" s="1"/>
  <c r="P298" i="5" s="1"/>
  <c r="P299" i="5" s="1"/>
  <c r="P300" i="5" s="1"/>
  <c r="P301" i="5" s="1"/>
  <c r="P302" i="5" s="1"/>
  <c r="P303" i="5" s="1"/>
  <c r="P304" i="5" s="1"/>
  <c r="P305" i="5" s="1"/>
  <c r="P306" i="5" s="1"/>
  <c r="S296" i="5" s="1"/>
  <c r="S297" i="5" s="1"/>
  <c r="S298" i="5" s="1"/>
  <c r="S299" i="5" s="1"/>
  <c r="S300" i="5" s="1"/>
  <c r="S301" i="5" s="1"/>
  <c r="S302" i="5" s="1"/>
  <c r="S303" i="5" s="1"/>
  <c r="S304" i="5" s="1"/>
  <c r="S305" i="5" s="1"/>
  <c r="S306" i="5" s="1"/>
  <c r="V296" i="5" s="1"/>
  <c r="V297" i="5" s="1"/>
  <c r="V298" i="5" s="1"/>
  <c r="V299" i="5" s="1"/>
  <c r="V300" i="5" s="1"/>
  <c r="V301" i="5" s="1"/>
  <c r="V302" i="5" s="1"/>
  <c r="V303" i="5" s="1"/>
  <c r="V304" i="5" s="1"/>
  <c r="V305" i="5" s="1"/>
  <c r="V306" i="5" s="1"/>
  <c r="D308" i="5" s="1"/>
  <c r="D309" i="5" s="1"/>
  <c r="D310" i="5" s="1"/>
  <c r="D311" i="5" s="1"/>
  <c r="D312" i="5" s="1"/>
  <c r="D313" i="5" s="1"/>
  <c r="D314" i="5" s="1"/>
  <c r="D315" i="5" s="1"/>
  <c r="D316" i="5" s="1"/>
  <c r="D317" i="5" s="1"/>
  <c r="D318" i="5" s="1"/>
  <c r="G308" i="5" s="1"/>
  <c r="G309" i="5" s="1"/>
  <c r="G310" i="5" s="1"/>
  <c r="G311" i="5" s="1"/>
  <c r="G312" i="5" s="1"/>
  <c r="G313" i="5" s="1"/>
  <c r="G314" i="5" s="1"/>
  <c r="G315" i="5" s="1"/>
  <c r="G316" i="5" s="1"/>
  <c r="G317" i="5" s="1"/>
  <c r="G318" i="5" s="1"/>
  <c r="J308" i="5" s="1"/>
  <c r="J309" i="5" s="1"/>
  <c r="J310" i="5" s="1"/>
  <c r="J311" i="5" s="1"/>
  <c r="J312" i="5" s="1"/>
  <c r="J313" i="5" s="1"/>
  <c r="J314" i="5" s="1"/>
  <c r="J315" i="5" s="1"/>
  <c r="J316" i="5" s="1"/>
  <c r="J317" i="5" s="1"/>
  <c r="J318" i="5" s="1"/>
  <c r="M308" i="5" s="1"/>
  <c r="M309" i="5" s="1"/>
  <c r="M310" i="5" s="1"/>
  <c r="M311" i="5" s="1"/>
  <c r="M312" i="5" s="1"/>
  <c r="M313" i="5" s="1"/>
  <c r="M314" i="5" s="1"/>
  <c r="M315" i="5" s="1"/>
  <c r="M316" i="5" s="1"/>
  <c r="M317" i="5" s="1"/>
  <c r="M318" i="5" s="1"/>
  <c r="P308" i="5" s="1"/>
  <c r="P309" i="5" s="1"/>
  <c r="P310" i="5" s="1"/>
  <c r="P311" i="5" s="1"/>
  <c r="P312" i="5" s="1"/>
  <c r="P313" i="5" s="1"/>
  <c r="P314" i="5" s="1"/>
  <c r="P315" i="5" s="1"/>
  <c r="P316" i="5" s="1"/>
  <c r="P317" i="5" s="1"/>
  <c r="P318" i="5" s="1"/>
  <c r="S308" i="5" s="1"/>
  <c r="S309" i="5" s="1"/>
  <c r="S310" i="5" s="1"/>
  <c r="S311" i="5" s="1"/>
  <c r="S312" i="5" s="1"/>
  <c r="S313" i="5" s="1"/>
  <c r="S314" i="5" s="1"/>
  <c r="S315" i="5" s="1"/>
  <c r="S316" i="5" s="1"/>
  <c r="S317" i="5" s="1"/>
  <c r="S318" i="5" s="1"/>
  <c r="V308" i="5" s="1"/>
  <c r="V309" i="5" s="1"/>
  <c r="V310" i="5" s="1"/>
  <c r="V311" i="5" s="1"/>
  <c r="V312" i="5" s="1"/>
  <c r="V313" i="5" s="1"/>
  <c r="V314" i="5" s="1"/>
  <c r="V315" i="5" s="1"/>
  <c r="V316" i="5" s="1"/>
  <c r="V317" i="5" s="1"/>
  <c r="V318" i="5" s="1"/>
  <c r="D320" i="5" s="1"/>
  <c r="D321" i="5" s="1"/>
  <c r="D322" i="5" s="1"/>
  <c r="D323" i="5" s="1"/>
  <c r="D324" i="5" s="1"/>
  <c r="D325" i="5" s="1"/>
  <c r="D326" i="5" s="1"/>
  <c r="D327" i="5" s="1"/>
  <c r="D328" i="5" s="1"/>
  <c r="D329" i="5" s="1"/>
  <c r="D330" i="5" s="1"/>
  <c r="G320" i="5" s="1"/>
  <c r="G321" i="5" s="1"/>
  <c r="G322" i="5" s="1"/>
  <c r="G323" i="5" s="1"/>
  <c r="G324" i="5" s="1"/>
  <c r="G325" i="5" s="1"/>
  <c r="G326" i="5" s="1"/>
  <c r="G327" i="5" s="1"/>
  <c r="G328" i="5" s="1"/>
  <c r="G329" i="5" s="1"/>
  <c r="G330" i="5" s="1"/>
  <c r="J320" i="5" s="1"/>
  <c r="J321" i="5" s="1"/>
  <c r="J322" i="5" s="1"/>
  <c r="J323" i="5" s="1"/>
  <c r="J324" i="5" s="1"/>
  <c r="J325" i="5" s="1"/>
  <c r="J326" i="5" s="1"/>
  <c r="J327" i="5" s="1"/>
  <c r="J328" i="5" s="1"/>
  <c r="J329" i="5" s="1"/>
  <c r="J330" i="5" s="1"/>
  <c r="M320" i="5" s="1"/>
  <c r="M321" i="5" s="1"/>
  <c r="M322" i="5" s="1"/>
  <c r="M323" i="5" s="1"/>
  <c r="M324" i="5" s="1"/>
  <c r="M325" i="5" s="1"/>
  <c r="M326" i="5" s="1"/>
  <c r="M327" i="5" s="1"/>
  <c r="M328" i="5" s="1"/>
  <c r="M329" i="5" s="1"/>
  <c r="M330" i="5" s="1"/>
  <c r="P320" i="5" s="1"/>
  <c r="P321" i="5" s="1"/>
  <c r="P322" i="5" s="1"/>
  <c r="P323" i="5" s="1"/>
  <c r="P324" i="5" s="1"/>
  <c r="P325" i="5" s="1"/>
  <c r="P326" i="5" s="1"/>
  <c r="P327" i="5" s="1"/>
  <c r="P328" i="5" s="1"/>
  <c r="P329" i="5" s="1"/>
  <c r="P330" i="5" s="1"/>
  <c r="S320" i="5" s="1"/>
  <c r="S321" i="5" s="1"/>
  <c r="S322" i="5" s="1"/>
  <c r="S323" i="5" s="1"/>
  <c r="S324" i="5" s="1"/>
  <c r="S325" i="5" s="1"/>
  <c r="S326" i="5" s="1"/>
  <c r="S327" i="5" s="1"/>
  <c r="S328" i="5" s="1"/>
  <c r="S329" i="5" s="1"/>
  <c r="S330" i="5" s="1"/>
  <c r="V320" i="5" s="1"/>
  <c r="V321" i="5" s="1"/>
  <c r="V322" i="5" s="1"/>
  <c r="V323" i="5" s="1"/>
  <c r="V324" i="5" s="1"/>
  <c r="V325" i="5" s="1"/>
  <c r="V326" i="5" s="1"/>
  <c r="V327" i="5" s="1"/>
  <c r="V328" i="5" s="1"/>
  <c r="V329" i="5" s="1"/>
  <c r="V330" i="5" s="1"/>
  <c r="D332" i="5" s="1"/>
  <c r="D333" i="5" s="1"/>
  <c r="D334" i="5" s="1"/>
  <c r="D335" i="5" s="1"/>
  <c r="D336" i="5" s="1"/>
  <c r="D337" i="5" s="1"/>
  <c r="D338" i="5" s="1"/>
  <c r="D339" i="5" s="1"/>
  <c r="D340" i="5" s="1"/>
  <c r="D341" i="5" s="1"/>
  <c r="D342" i="5" s="1"/>
  <c r="G332" i="5" s="1"/>
  <c r="G333" i="5" s="1"/>
  <c r="G334" i="5" s="1"/>
  <c r="G335" i="5" s="1"/>
  <c r="G336" i="5" s="1"/>
  <c r="G337" i="5" s="1"/>
  <c r="G338" i="5" s="1"/>
  <c r="G339" i="5" s="1"/>
  <c r="G340" i="5" s="1"/>
  <c r="G341" i="5" s="1"/>
  <c r="G342" i="5" s="1"/>
  <c r="J332" i="5" s="1"/>
  <c r="J333" i="5" s="1"/>
  <c r="J334" i="5" s="1"/>
  <c r="J335" i="5" s="1"/>
  <c r="J336" i="5" s="1"/>
  <c r="J337" i="5" s="1"/>
  <c r="J338" i="5" s="1"/>
  <c r="J339" i="5" s="1"/>
  <c r="J340" i="5" s="1"/>
  <c r="J341" i="5" s="1"/>
  <c r="J342" i="5" s="1"/>
  <c r="M332" i="5" s="1"/>
  <c r="M333" i="5" s="1"/>
  <c r="M334" i="5" s="1"/>
  <c r="M335" i="5" s="1"/>
  <c r="M336" i="5" s="1"/>
  <c r="M337" i="5" s="1"/>
  <c r="M338" i="5" s="1"/>
  <c r="M339" i="5" s="1"/>
  <c r="M340" i="5" s="1"/>
  <c r="M341" i="5" s="1"/>
  <c r="M342" i="5" s="1"/>
  <c r="P332" i="5" s="1"/>
  <c r="P333" i="5" s="1"/>
  <c r="P334" i="5" s="1"/>
  <c r="P335" i="5" s="1"/>
  <c r="P336" i="5" s="1"/>
  <c r="P337" i="5" s="1"/>
  <c r="P338" i="5" s="1"/>
  <c r="P339" i="5" s="1"/>
  <c r="P340" i="5" s="1"/>
  <c r="P341" i="5" s="1"/>
  <c r="P342" i="5" s="1"/>
  <c r="S332" i="5" s="1"/>
  <c r="S333" i="5" s="1"/>
  <c r="S334" i="5" s="1"/>
  <c r="S335" i="5" s="1"/>
  <c r="S336" i="5" s="1"/>
  <c r="S337" i="5" s="1"/>
  <c r="S338" i="5" s="1"/>
  <c r="S339" i="5" s="1"/>
  <c r="S340" i="5" s="1"/>
  <c r="S341" i="5" s="1"/>
  <c r="S342" i="5" s="1"/>
  <c r="V332" i="5" s="1"/>
  <c r="V333" i="5" s="1"/>
  <c r="V334" i="5" s="1"/>
  <c r="V335" i="5" s="1"/>
  <c r="V336" i="5" s="1"/>
  <c r="V337" i="5" s="1"/>
  <c r="V338" i="5" s="1"/>
  <c r="V339" i="5" s="1"/>
  <c r="V340" i="5" s="1"/>
  <c r="V341" i="5" s="1"/>
  <c r="V342" i="5" s="1"/>
  <c r="D344" i="5" s="1"/>
  <c r="D345" i="5" s="1"/>
  <c r="D346" i="5" s="1"/>
  <c r="D347" i="5" s="1"/>
  <c r="D348" i="5" s="1"/>
  <c r="D349" i="5" s="1"/>
  <c r="D350" i="5" s="1"/>
  <c r="D351" i="5" s="1"/>
  <c r="D352" i="5" s="1"/>
  <c r="D353" i="5" s="1"/>
  <c r="D354" i="5" s="1"/>
  <c r="G344" i="5" s="1"/>
  <c r="G345" i="5" s="1"/>
  <c r="G346" i="5" s="1"/>
  <c r="G347" i="5" s="1"/>
  <c r="G348" i="5" s="1"/>
  <c r="G349" i="5" s="1"/>
  <c r="G350" i="5" s="1"/>
  <c r="G351" i="5" s="1"/>
  <c r="G352" i="5" s="1"/>
  <c r="G353" i="5" s="1"/>
  <c r="G354" i="5" s="1"/>
  <c r="J344" i="5" s="1"/>
  <c r="J345" i="5" s="1"/>
  <c r="J346" i="5" s="1"/>
  <c r="J347" i="5" s="1"/>
  <c r="J348" i="5" s="1"/>
  <c r="J349" i="5" s="1"/>
  <c r="J350" i="5" s="1"/>
  <c r="J351" i="5" s="1"/>
  <c r="J352" i="5" s="1"/>
  <c r="J353" i="5" s="1"/>
  <c r="J354" i="5" s="1"/>
  <c r="M344" i="5" s="1"/>
  <c r="M345" i="5" s="1"/>
  <c r="M346" i="5" s="1"/>
  <c r="M347" i="5" s="1"/>
  <c r="M348" i="5" s="1"/>
  <c r="M349" i="5" s="1"/>
  <c r="M350" i="5" s="1"/>
  <c r="M351" i="5" s="1"/>
  <c r="M352" i="5" s="1"/>
  <c r="M353" i="5" s="1"/>
  <c r="M354" i="5" s="1"/>
  <c r="P344" i="5" s="1"/>
  <c r="P345" i="5" s="1"/>
  <c r="P346" i="5" s="1"/>
  <c r="P347" i="5" s="1"/>
  <c r="P348" i="5" s="1"/>
  <c r="P349" i="5" s="1"/>
  <c r="P350" i="5" s="1"/>
  <c r="P351" i="5" s="1"/>
  <c r="P352" i="5" s="1"/>
  <c r="P353" i="5" s="1"/>
  <c r="P354" i="5" s="1"/>
  <c r="S344" i="5" s="1"/>
  <c r="S345" i="5" s="1"/>
  <c r="S346" i="5" s="1"/>
  <c r="S347" i="5" s="1"/>
  <c r="S348" i="5" s="1"/>
  <c r="S349" i="5" s="1"/>
  <c r="S350" i="5" s="1"/>
  <c r="S351" i="5" s="1"/>
  <c r="S352" i="5" s="1"/>
  <c r="S353" i="5" s="1"/>
  <c r="S354" i="5" s="1"/>
  <c r="V344" i="5" s="1"/>
  <c r="V345" i="5" s="1"/>
  <c r="V346" i="5" s="1"/>
  <c r="V347" i="5" s="1"/>
  <c r="V348" i="5" s="1"/>
  <c r="V349" i="5" s="1"/>
  <c r="V350" i="5" s="1"/>
  <c r="V351" i="5" s="1"/>
  <c r="V352" i="5" s="1"/>
  <c r="V353" i="5" s="1"/>
  <c r="V354" i="5" s="1"/>
  <c r="D356" i="5" s="1"/>
  <c r="D357" i="5" s="1"/>
  <c r="D358" i="5" s="1"/>
  <c r="D359" i="5" s="1"/>
  <c r="D360" i="5" s="1"/>
  <c r="D361" i="5" s="1"/>
  <c r="D362" i="5" s="1"/>
  <c r="D363" i="5" s="1"/>
  <c r="D364" i="5" s="1"/>
  <c r="D365" i="5" s="1"/>
  <c r="D366" i="5" s="1"/>
  <c r="G356" i="5" s="1"/>
  <c r="G357" i="5" s="1"/>
  <c r="G358" i="5" s="1"/>
  <c r="G359" i="5" s="1"/>
  <c r="G360" i="5" s="1"/>
  <c r="G361" i="5" s="1"/>
  <c r="G362" i="5" s="1"/>
  <c r="G363" i="5" s="1"/>
  <c r="G364" i="5" s="1"/>
  <c r="G365" i="5" s="1"/>
  <c r="G366" i="5" s="1"/>
  <c r="J356" i="5" s="1"/>
  <c r="J357" i="5" s="1"/>
  <c r="J358" i="5" s="1"/>
  <c r="J359" i="5" s="1"/>
  <c r="J360" i="5" s="1"/>
  <c r="J361" i="5" s="1"/>
  <c r="J362" i="5" s="1"/>
  <c r="J363" i="5" s="1"/>
  <c r="J364" i="5" s="1"/>
  <c r="J365" i="5" s="1"/>
  <c r="J366" i="5" s="1"/>
  <c r="M356" i="5" s="1"/>
  <c r="M357" i="5" s="1"/>
  <c r="M358" i="5" s="1"/>
  <c r="M359" i="5" s="1"/>
  <c r="M360" i="5" s="1"/>
  <c r="M361" i="5" s="1"/>
  <c r="M362" i="5" s="1"/>
  <c r="M363" i="5" s="1"/>
  <c r="M364" i="5" s="1"/>
  <c r="M365" i="5" s="1"/>
  <c r="M366" i="5" s="1"/>
  <c r="P356" i="5" s="1"/>
  <c r="P357" i="5" s="1"/>
  <c r="P358" i="5" s="1"/>
  <c r="P359" i="5" s="1"/>
  <c r="P360" i="5" s="1"/>
  <c r="P361" i="5" s="1"/>
  <c r="P362" i="5" s="1"/>
  <c r="P363" i="5" s="1"/>
  <c r="P364" i="5" s="1"/>
  <c r="P365" i="5" s="1"/>
  <c r="P366" i="5" s="1"/>
  <c r="S356" i="5" s="1"/>
  <c r="S357" i="5" s="1"/>
  <c r="S358" i="5" s="1"/>
  <c r="S359" i="5" s="1"/>
  <c r="S360" i="5" s="1"/>
  <c r="S361" i="5" s="1"/>
  <c r="S362" i="5" s="1"/>
  <c r="S363" i="5" s="1"/>
  <c r="S364" i="5" s="1"/>
  <c r="S365" i="5" s="1"/>
  <c r="S366" i="5" s="1"/>
  <c r="V356" i="5" s="1"/>
  <c r="V357" i="5" s="1"/>
  <c r="V358" i="5" s="1"/>
  <c r="V359" i="5" s="1"/>
  <c r="V360" i="5" s="1"/>
  <c r="V361" i="5" s="1"/>
  <c r="V362" i="5" s="1"/>
  <c r="V363" i="5" s="1"/>
  <c r="V364" i="5" s="1"/>
  <c r="V365" i="5" s="1"/>
  <c r="V366" i="5" s="1"/>
  <c r="D368" i="5" s="1"/>
  <c r="D369" i="5" s="1"/>
  <c r="D370" i="5" s="1"/>
  <c r="D371" i="5" s="1"/>
  <c r="D372" i="5" s="1"/>
  <c r="D373" i="5" s="1"/>
  <c r="D374" i="5" s="1"/>
  <c r="D375" i="5" s="1"/>
  <c r="D376" i="5" s="1"/>
  <c r="D377" i="5" s="1"/>
  <c r="D378" i="5" s="1"/>
  <c r="G368" i="5" s="1"/>
  <c r="G369" i="5" s="1"/>
  <c r="G370" i="5" s="1"/>
  <c r="G371" i="5" s="1"/>
  <c r="G372" i="5" s="1"/>
  <c r="G373" i="5" s="1"/>
  <c r="G374" i="5" s="1"/>
  <c r="G375" i="5" s="1"/>
  <c r="G376" i="5" s="1"/>
  <c r="G377" i="5" s="1"/>
  <c r="G378" i="5" s="1"/>
  <c r="J368" i="5" s="1"/>
  <c r="J369" i="5" s="1"/>
  <c r="J370" i="5" s="1"/>
  <c r="J371" i="5" s="1"/>
  <c r="J372" i="5" s="1"/>
  <c r="J373" i="5" s="1"/>
  <c r="J374" i="5" s="1"/>
  <c r="J375" i="5" s="1"/>
  <c r="J376" i="5" s="1"/>
  <c r="J377" i="5" s="1"/>
  <c r="J378" i="5" s="1"/>
  <c r="M368" i="5" s="1"/>
  <c r="M369" i="5" s="1"/>
  <c r="M370" i="5" s="1"/>
  <c r="M371" i="5" s="1"/>
  <c r="M372" i="5" s="1"/>
  <c r="M373" i="5" s="1"/>
  <c r="M374" i="5" s="1"/>
  <c r="M375" i="5" s="1"/>
  <c r="M376" i="5" s="1"/>
  <c r="M377" i="5" s="1"/>
  <c r="M378" i="5" s="1"/>
  <c r="P368" i="5" s="1"/>
  <c r="P369" i="5" s="1"/>
  <c r="P370" i="5" s="1"/>
  <c r="P371" i="5" s="1"/>
  <c r="P372" i="5" s="1"/>
  <c r="P373" i="5" s="1"/>
  <c r="P374" i="5" s="1"/>
  <c r="P375" i="5" s="1"/>
  <c r="P376" i="5" s="1"/>
  <c r="P377" i="5" s="1"/>
  <c r="P378" i="5" s="1"/>
  <c r="S368" i="5" s="1"/>
  <c r="S369" i="5" s="1"/>
  <c r="S370" i="5" s="1"/>
  <c r="S371" i="5" s="1"/>
  <c r="S372" i="5" s="1"/>
  <c r="S373" i="5" s="1"/>
  <c r="S374" i="5" s="1"/>
  <c r="S375" i="5" s="1"/>
  <c r="S376" i="5" s="1"/>
  <c r="S377" i="5" s="1"/>
  <c r="S378" i="5" s="1"/>
  <c r="V368" i="5" s="1"/>
  <c r="V369" i="5" s="1"/>
  <c r="V370" i="5" s="1"/>
  <c r="V371" i="5" s="1"/>
  <c r="V372" i="5" s="1"/>
  <c r="V373" i="5" s="1"/>
  <c r="V374" i="5" s="1"/>
  <c r="V375" i="5" s="1"/>
  <c r="V376" i="5" s="1"/>
  <c r="V377" i="5" s="1"/>
  <c r="V378" i="5" s="1"/>
  <c r="D380" i="5" s="1"/>
  <c r="D381" i="5" s="1"/>
  <c r="D382" i="5" s="1"/>
  <c r="D383" i="5" s="1"/>
  <c r="D384" i="5" s="1"/>
  <c r="D385" i="5" s="1"/>
  <c r="D386" i="5" s="1"/>
  <c r="D387" i="5" s="1"/>
  <c r="D388" i="5" s="1"/>
  <c r="D389" i="5" s="1"/>
  <c r="D390" i="5" s="1"/>
  <c r="G380" i="5" s="1"/>
  <c r="G381" i="5" s="1"/>
  <c r="G382" i="5" s="1"/>
  <c r="G383" i="5" s="1"/>
  <c r="G384" i="5" s="1"/>
  <c r="G385" i="5" s="1"/>
  <c r="G386" i="5" s="1"/>
  <c r="G387" i="5" s="1"/>
  <c r="G388" i="5" s="1"/>
  <c r="G389" i="5" s="1"/>
  <c r="G390" i="5" s="1"/>
  <c r="J380" i="5" s="1"/>
  <c r="J381" i="5" s="1"/>
  <c r="J382" i="5" s="1"/>
  <c r="J383" i="5" s="1"/>
  <c r="J384" i="5" s="1"/>
  <c r="J385" i="5" s="1"/>
  <c r="J386" i="5" s="1"/>
  <c r="J387" i="5" s="1"/>
  <c r="J388" i="5" s="1"/>
  <c r="J389" i="5" s="1"/>
  <c r="J390" i="5" s="1"/>
  <c r="M380" i="5" s="1"/>
  <c r="M381" i="5" s="1"/>
  <c r="M382" i="5" s="1"/>
  <c r="M383" i="5" s="1"/>
  <c r="M384" i="5" s="1"/>
  <c r="M385" i="5" s="1"/>
  <c r="M386" i="5" s="1"/>
  <c r="M387" i="5" s="1"/>
  <c r="M388" i="5" s="1"/>
  <c r="M389" i="5" s="1"/>
  <c r="M390" i="5" s="1"/>
  <c r="P380" i="5" s="1"/>
  <c r="P381" i="5" s="1"/>
  <c r="P382" i="5" s="1"/>
  <c r="P383" i="5" s="1"/>
  <c r="P384" i="5" s="1"/>
  <c r="P385" i="5" s="1"/>
  <c r="P386" i="5" s="1"/>
  <c r="P387" i="5" s="1"/>
  <c r="P388" i="5" s="1"/>
  <c r="P389" i="5" s="1"/>
  <c r="P390" i="5" s="1"/>
  <c r="S380" i="5" s="1"/>
  <c r="S381" i="5" s="1"/>
  <c r="S382" i="5" s="1"/>
  <c r="S383" i="5" s="1"/>
  <c r="S384" i="5" s="1"/>
  <c r="S385" i="5" s="1"/>
  <c r="S386" i="5" s="1"/>
  <c r="S387" i="5" s="1"/>
  <c r="S388" i="5" s="1"/>
  <c r="S389" i="5" s="1"/>
  <c r="S390" i="5" s="1"/>
  <c r="V380" i="5" s="1"/>
  <c r="V381" i="5" s="1"/>
  <c r="V382" i="5" s="1"/>
  <c r="V383" i="5" s="1"/>
  <c r="V384" i="5" s="1"/>
  <c r="V385" i="5" s="1"/>
  <c r="V386" i="5" s="1"/>
  <c r="V387" i="5" s="1"/>
  <c r="V388" i="5" s="1"/>
  <c r="V389" i="5" s="1"/>
  <c r="V390" i="5" s="1"/>
  <c r="D392" i="5" s="1"/>
  <c r="D393" i="5" s="1"/>
  <c r="D394" i="5" s="1"/>
  <c r="D395" i="5" s="1"/>
  <c r="D396" i="5" s="1"/>
  <c r="D397" i="5" s="1"/>
  <c r="D398" i="5" s="1"/>
  <c r="D399" i="5" s="1"/>
  <c r="D400" i="5" s="1"/>
  <c r="D401" i="5" s="1"/>
  <c r="D402" i="5" s="1"/>
  <c r="G392" i="5" s="1"/>
  <c r="G393" i="5" s="1"/>
  <c r="G394" i="5" s="1"/>
  <c r="G395" i="5" s="1"/>
  <c r="G396" i="5" s="1"/>
  <c r="G397" i="5" s="1"/>
  <c r="G398" i="5" s="1"/>
  <c r="G399" i="5" s="1"/>
  <c r="G400" i="5" s="1"/>
  <c r="G401" i="5" s="1"/>
  <c r="G402" i="5" s="1"/>
  <c r="J392" i="5" s="1"/>
  <c r="J393" i="5" s="1"/>
  <c r="J394" i="5" s="1"/>
  <c r="J395" i="5" s="1"/>
  <c r="J396" i="5" s="1"/>
  <c r="J397" i="5" s="1"/>
  <c r="J398" i="5" s="1"/>
  <c r="J399" i="5" s="1"/>
  <c r="J400" i="5" s="1"/>
  <c r="J401" i="5" s="1"/>
  <c r="J402" i="5" s="1"/>
  <c r="M392" i="5" s="1"/>
  <c r="M393" i="5" s="1"/>
  <c r="M394" i="5" s="1"/>
  <c r="M395" i="5" s="1"/>
  <c r="M396" i="5" s="1"/>
  <c r="M397" i="5" s="1"/>
  <c r="M398" i="5" s="1"/>
  <c r="M399" i="5" s="1"/>
  <c r="M400" i="5" s="1"/>
  <c r="M401" i="5" s="1"/>
  <c r="M402" i="5" s="1"/>
  <c r="P392" i="5" s="1"/>
  <c r="P393" i="5" s="1"/>
  <c r="P394" i="5" s="1"/>
  <c r="P395" i="5" s="1"/>
  <c r="P396" i="5" s="1"/>
  <c r="P397" i="5" s="1"/>
  <c r="P398" i="5" s="1"/>
  <c r="P399" i="5" s="1"/>
  <c r="P400" i="5" s="1"/>
  <c r="P401" i="5" s="1"/>
  <c r="P402" i="5" s="1"/>
  <c r="S392" i="5" s="1"/>
  <c r="S393" i="5" s="1"/>
  <c r="S394" i="5" s="1"/>
  <c r="S395" i="5" s="1"/>
  <c r="S396" i="5" s="1"/>
  <c r="S397" i="5" s="1"/>
  <c r="S398" i="5" s="1"/>
  <c r="S399" i="5" s="1"/>
  <c r="S400" i="5" s="1"/>
  <c r="S401" i="5" s="1"/>
  <c r="S402" i="5" s="1"/>
  <c r="V392" i="5" s="1"/>
  <c r="V393" i="5" s="1"/>
  <c r="V394" i="5" s="1"/>
  <c r="V395" i="5" s="1"/>
  <c r="V396" i="5" s="1"/>
  <c r="V397" i="5" s="1"/>
  <c r="V398" i="5" s="1"/>
  <c r="V399" i="5" s="1"/>
  <c r="V400" i="5" s="1"/>
  <c r="V401" i="5" s="1"/>
  <c r="V402" i="5" s="1"/>
  <c r="D404" i="5" s="1"/>
  <c r="D405" i="5" s="1"/>
  <c r="D406" i="5" s="1"/>
  <c r="D407" i="5" s="1"/>
  <c r="D408" i="5" s="1"/>
  <c r="D409" i="5" s="1"/>
  <c r="D410" i="5" s="1"/>
  <c r="D411" i="5" s="1"/>
  <c r="D412" i="5" s="1"/>
  <c r="D413" i="5" s="1"/>
  <c r="D414" i="5" s="1"/>
  <c r="G404" i="5" s="1"/>
  <c r="G405" i="5" s="1"/>
  <c r="G406" i="5" s="1"/>
  <c r="G407" i="5" s="1"/>
  <c r="G408" i="5" s="1"/>
  <c r="G409" i="5" s="1"/>
  <c r="G410" i="5" s="1"/>
  <c r="G411" i="5" s="1"/>
  <c r="G412" i="5" s="1"/>
  <c r="G413" i="5" s="1"/>
  <c r="G414" i="5" s="1"/>
  <c r="J404" i="5" s="1"/>
  <c r="J405" i="5" s="1"/>
  <c r="J406" i="5" s="1"/>
  <c r="J407" i="5" s="1"/>
  <c r="J408" i="5" s="1"/>
  <c r="J409" i="5" s="1"/>
  <c r="J410" i="5" s="1"/>
  <c r="J411" i="5" s="1"/>
  <c r="J412" i="5" s="1"/>
  <c r="J413" i="5" s="1"/>
  <c r="J414" i="5" s="1"/>
  <c r="M404" i="5" s="1"/>
  <c r="M405" i="5" s="1"/>
  <c r="M406" i="5" s="1"/>
  <c r="M407" i="5" s="1"/>
  <c r="M408" i="5" s="1"/>
  <c r="M409" i="5" s="1"/>
  <c r="M410" i="5" s="1"/>
  <c r="M411" i="5" s="1"/>
  <c r="M412" i="5" s="1"/>
  <c r="M413" i="5" s="1"/>
  <c r="M414" i="5" s="1"/>
  <c r="P404" i="5" s="1"/>
  <c r="P405" i="5" s="1"/>
  <c r="P406" i="5" s="1"/>
  <c r="P407" i="5" s="1"/>
  <c r="P408" i="5" s="1"/>
  <c r="P409" i="5" s="1"/>
  <c r="P410" i="5" s="1"/>
  <c r="P411" i="5" s="1"/>
  <c r="P412" i="5" s="1"/>
  <c r="P413" i="5" s="1"/>
  <c r="P414" i="5" s="1"/>
  <c r="S404" i="5" s="1"/>
  <c r="S405" i="5" s="1"/>
  <c r="S406" i="5" s="1"/>
  <c r="S407" i="5" s="1"/>
  <c r="S408" i="5" s="1"/>
  <c r="S409" i="5" s="1"/>
  <c r="S410" i="5" s="1"/>
  <c r="S411" i="5" s="1"/>
  <c r="S412" i="5" s="1"/>
  <c r="S413" i="5" s="1"/>
  <c r="S414" i="5" s="1"/>
  <c r="V404" i="5" s="1"/>
  <c r="V405" i="5" s="1"/>
  <c r="V406" i="5" s="1"/>
  <c r="V407" i="5" s="1"/>
  <c r="V408" i="5" s="1"/>
  <c r="V409" i="5" s="1"/>
  <c r="V410" i="5" s="1"/>
  <c r="V411" i="5" s="1"/>
  <c r="V412" i="5" s="1"/>
  <c r="V413" i="5" s="1"/>
  <c r="V414" i="5" s="1"/>
  <c r="D416" i="5" s="1"/>
  <c r="D417" i="5" s="1"/>
  <c r="D418" i="5" s="1"/>
  <c r="D419" i="5" s="1"/>
  <c r="D420" i="5" s="1"/>
  <c r="D421" i="5" s="1"/>
  <c r="D422" i="5" s="1"/>
  <c r="D423" i="5" s="1"/>
  <c r="D424" i="5" s="1"/>
  <c r="D425" i="5" s="1"/>
  <c r="D426" i="5" s="1"/>
  <c r="G416" i="5" s="1"/>
  <c r="G417" i="5" s="1"/>
  <c r="G418" i="5" s="1"/>
  <c r="G419" i="5" s="1"/>
  <c r="G420" i="5" s="1"/>
  <c r="G421" i="5" s="1"/>
  <c r="G422" i="5" s="1"/>
  <c r="G423" i="5" s="1"/>
  <c r="G424" i="5" s="1"/>
  <c r="G425" i="5" s="1"/>
  <c r="G426" i="5" s="1"/>
  <c r="J416" i="5" s="1"/>
  <c r="J417" i="5" s="1"/>
  <c r="J418" i="5" s="1"/>
  <c r="J419" i="5" s="1"/>
  <c r="J420" i="5" s="1"/>
  <c r="J421" i="5" s="1"/>
  <c r="J422" i="5" s="1"/>
  <c r="J423" i="5" s="1"/>
  <c r="J424" i="5" s="1"/>
  <c r="J425" i="5" s="1"/>
  <c r="J426" i="5" s="1"/>
  <c r="M416" i="5" s="1"/>
  <c r="M417" i="5" s="1"/>
  <c r="M418" i="5" s="1"/>
  <c r="M419" i="5" s="1"/>
  <c r="M420" i="5" s="1"/>
  <c r="M421" i="5" s="1"/>
  <c r="M422" i="5" s="1"/>
  <c r="M423" i="5" s="1"/>
  <c r="M424" i="5" s="1"/>
  <c r="M425" i="5" s="1"/>
  <c r="M426" i="5" s="1"/>
  <c r="P416" i="5" s="1"/>
  <c r="P417" i="5" s="1"/>
  <c r="P418" i="5" s="1"/>
  <c r="P419" i="5" s="1"/>
  <c r="P420" i="5" s="1"/>
  <c r="P421" i="5" s="1"/>
  <c r="P422" i="5" s="1"/>
  <c r="P423" i="5" s="1"/>
  <c r="P424" i="5" s="1"/>
  <c r="P425" i="5" s="1"/>
  <c r="P426" i="5" s="1"/>
  <c r="S416" i="5" s="1"/>
  <c r="S417" i="5" s="1"/>
  <c r="S418" i="5" s="1"/>
  <c r="S419" i="5" s="1"/>
  <c r="S420" i="5" s="1"/>
  <c r="S421" i="5" s="1"/>
  <c r="S422" i="5" s="1"/>
  <c r="S423" i="5" s="1"/>
  <c r="S424" i="5" s="1"/>
  <c r="S425" i="5" s="1"/>
  <c r="S426" i="5" s="1"/>
  <c r="V416" i="5" s="1"/>
  <c r="V417" i="5" s="1"/>
  <c r="V418" i="5" s="1"/>
  <c r="V419" i="5" s="1"/>
  <c r="V420" i="5" s="1"/>
  <c r="V421" i="5" s="1"/>
  <c r="V422" i="5" s="1"/>
  <c r="V423" i="5" s="1"/>
  <c r="V424" i="5" s="1"/>
  <c r="V425" i="5" s="1"/>
  <c r="V426" i="5" s="1"/>
  <c r="D428" i="5" s="1"/>
  <c r="D429" i="5" s="1"/>
  <c r="D430" i="5" s="1"/>
  <c r="D431" i="5" s="1"/>
  <c r="D432" i="5" s="1"/>
  <c r="D433" i="5" s="1"/>
  <c r="D434" i="5" s="1"/>
  <c r="D435" i="5" s="1"/>
  <c r="D436" i="5" s="1"/>
  <c r="D437" i="5" s="1"/>
  <c r="D438" i="5" s="1"/>
  <c r="G428" i="5" s="1"/>
  <c r="G429" i="5" s="1"/>
  <c r="G430" i="5" s="1"/>
  <c r="G431" i="5" s="1"/>
  <c r="G432" i="5" s="1"/>
  <c r="G433" i="5" s="1"/>
  <c r="G434" i="5" s="1"/>
  <c r="G435" i="5" s="1"/>
  <c r="G436" i="5" s="1"/>
  <c r="G437" i="5" s="1"/>
  <c r="G438" i="5" s="1"/>
  <c r="J428" i="5" s="1"/>
  <c r="J429" i="5" s="1"/>
  <c r="J430" i="5" s="1"/>
  <c r="J431" i="5" s="1"/>
  <c r="J432" i="5" s="1"/>
  <c r="J433" i="5" s="1"/>
  <c r="J434" i="5" s="1"/>
  <c r="J435" i="5" s="1"/>
  <c r="J436" i="5" s="1"/>
  <c r="J437" i="5" s="1"/>
  <c r="J438" i="5" s="1"/>
  <c r="M428" i="5" s="1"/>
  <c r="M429" i="5" s="1"/>
  <c r="M430" i="5" s="1"/>
  <c r="M431" i="5" s="1"/>
  <c r="M432" i="5" s="1"/>
  <c r="M433" i="5" s="1"/>
  <c r="M434" i="5" s="1"/>
  <c r="M435" i="5" s="1"/>
  <c r="M436" i="5" s="1"/>
  <c r="M437" i="5" s="1"/>
  <c r="M438" i="5" s="1"/>
  <c r="P428" i="5" s="1"/>
  <c r="P429" i="5" s="1"/>
  <c r="P430" i="5" s="1"/>
  <c r="P431" i="5" s="1"/>
  <c r="P432" i="5" s="1"/>
  <c r="P433" i="5" s="1"/>
  <c r="P434" i="5" s="1"/>
  <c r="P435" i="5" s="1"/>
  <c r="P436" i="5" s="1"/>
  <c r="P437" i="5" s="1"/>
  <c r="P438" i="5" s="1"/>
  <c r="S428" i="5" s="1"/>
  <c r="S429" i="5" s="1"/>
  <c r="S430" i="5" s="1"/>
  <c r="S431" i="5" s="1"/>
  <c r="S432" i="5" s="1"/>
  <c r="S433" i="5" s="1"/>
  <c r="S434" i="5" s="1"/>
  <c r="S435" i="5" s="1"/>
  <c r="S436" i="5" s="1"/>
  <c r="S437" i="5" s="1"/>
  <c r="S438" i="5" s="1"/>
  <c r="V428" i="5" s="1"/>
  <c r="V429" i="5" s="1"/>
  <c r="V430" i="5" s="1"/>
  <c r="V431" i="5" s="1"/>
  <c r="V432" i="5" s="1"/>
  <c r="V433" i="5" s="1"/>
  <c r="V434" i="5" s="1"/>
  <c r="V435" i="5" s="1"/>
  <c r="V436" i="5" s="1"/>
  <c r="V437" i="5" s="1"/>
  <c r="V438" i="5" s="1"/>
  <c r="D440" i="5" s="1"/>
  <c r="D441" i="5" s="1"/>
  <c r="D442" i="5" s="1"/>
  <c r="D443" i="5" s="1"/>
  <c r="D444" i="5" s="1"/>
  <c r="D445" i="5" s="1"/>
  <c r="D446" i="5" s="1"/>
  <c r="D447" i="5" s="1"/>
  <c r="D448" i="5" s="1"/>
  <c r="D449" i="5" s="1"/>
  <c r="D450" i="5" s="1"/>
  <c r="G440" i="5" s="1"/>
  <c r="G441" i="5" s="1"/>
  <c r="G442" i="5" s="1"/>
  <c r="G443" i="5" s="1"/>
  <c r="G444" i="5" s="1"/>
  <c r="G445" i="5" s="1"/>
  <c r="G446" i="5" s="1"/>
  <c r="G447" i="5" s="1"/>
  <c r="G448" i="5" s="1"/>
  <c r="G449" i="5" s="1"/>
  <c r="G450" i="5" s="1"/>
  <c r="J440" i="5" s="1"/>
  <c r="J441" i="5" s="1"/>
  <c r="J442" i="5" s="1"/>
  <c r="J443" i="5" s="1"/>
  <c r="J444" i="5" s="1"/>
  <c r="J445" i="5" s="1"/>
  <c r="J446" i="5" s="1"/>
  <c r="J447" i="5" s="1"/>
  <c r="J448" i="5" s="1"/>
  <c r="J449" i="5" s="1"/>
  <c r="J450" i="5" s="1"/>
  <c r="M440" i="5" s="1"/>
  <c r="M441" i="5" s="1"/>
  <c r="M442" i="5" s="1"/>
  <c r="M443" i="5" s="1"/>
  <c r="M444" i="5" s="1"/>
  <c r="M445" i="5" s="1"/>
  <c r="M446" i="5" s="1"/>
  <c r="M447" i="5" s="1"/>
  <c r="M448" i="5" s="1"/>
  <c r="M449" i="5" s="1"/>
  <c r="M450" i="5" s="1"/>
  <c r="P440" i="5" s="1"/>
  <c r="P441" i="5" s="1"/>
  <c r="P442" i="5" s="1"/>
  <c r="P443" i="5" s="1"/>
  <c r="P444" i="5" s="1"/>
  <c r="P445" i="5" s="1"/>
  <c r="P446" i="5" s="1"/>
  <c r="P447" i="5" s="1"/>
  <c r="P448" i="5" s="1"/>
  <c r="P449" i="5" s="1"/>
  <c r="P450" i="5" s="1"/>
  <c r="S440" i="5" s="1"/>
  <c r="S441" i="5" s="1"/>
  <c r="S442" i="5" s="1"/>
  <c r="S443" i="5" s="1"/>
  <c r="S444" i="5" s="1"/>
  <c r="S445" i="5" s="1"/>
  <c r="S446" i="5" s="1"/>
  <c r="S447" i="5" s="1"/>
  <c r="S448" i="5" s="1"/>
  <c r="S449" i="5" s="1"/>
  <c r="S450" i="5" s="1"/>
  <c r="V440" i="5" s="1"/>
  <c r="V441" i="5" s="1"/>
  <c r="V442" i="5" s="1"/>
  <c r="V443" i="5" s="1"/>
  <c r="V444" i="5" s="1"/>
  <c r="V445" i="5" s="1"/>
  <c r="V446" i="5" s="1"/>
  <c r="V447" i="5" s="1"/>
  <c r="V448" i="5" s="1"/>
  <c r="V449" i="5" s="1"/>
  <c r="V450" i="5" s="1"/>
  <c r="D452" i="5" s="1"/>
  <c r="D453" i="5" s="1"/>
  <c r="D454" i="5" s="1"/>
  <c r="D455" i="5" s="1"/>
  <c r="D456" i="5" s="1"/>
  <c r="D457" i="5" s="1"/>
  <c r="D458" i="5" s="1"/>
  <c r="D459" i="5" s="1"/>
  <c r="D460" i="5" s="1"/>
  <c r="D461" i="5" s="1"/>
  <c r="D462" i="5" s="1"/>
  <c r="G452" i="5" s="1"/>
  <c r="G453" i="5" s="1"/>
  <c r="G454" i="5" s="1"/>
  <c r="G455" i="5" s="1"/>
  <c r="G456" i="5" s="1"/>
  <c r="G457" i="5" s="1"/>
  <c r="G458" i="5" s="1"/>
  <c r="G459" i="5" s="1"/>
  <c r="G460" i="5" s="1"/>
  <c r="G461" i="5" s="1"/>
  <c r="G462" i="5" s="1"/>
  <c r="J452" i="5" s="1"/>
  <c r="J453" i="5" s="1"/>
  <c r="J454" i="5" s="1"/>
  <c r="J455" i="5" s="1"/>
  <c r="J456" i="5" s="1"/>
  <c r="J457" i="5" s="1"/>
  <c r="J458" i="5" s="1"/>
  <c r="J459" i="5" s="1"/>
  <c r="J460" i="5" s="1"/>
  <c r="J461" i="5" s="1"/>
  <c r="J462" i="5" s="1"/>
  <c r="M452" i="5" s="1"/>
  <c r="M453" i="5" s="1"/>
  <c r="M454" i="5" s="1"/>
  <c r="M455" i="5" s="1"/>
  <c r="M456" i="5" s="1"/>
  <c r="M457" i="5" s="1"/>
  <c r="M458" i="5" s="1"/>
  <c r="M459" i="5" s="1"/>
  <c r="M460" i="5" s="1"/>
  <c r="M461" i="5" s="1"/>
  <c r="M462" i="5" s="1"/>
  <c r="P452" i="5" s="1"/>
  <c r="P453" i="5" s="1"/>
  <c r="P454" i="5" s="1"/>
  <c r="P455" i="5" s="1"/>
  <c r="P456" i="5" s="1"/>
  <c r="P457" i="5" s="1"/>
  <c r="P458" i="5" s="1"/>
  <c r="P459" i="5" s="1"/>
  <c r="P460" i="5" s="1"/>
  <c r="P461" i="5" s="1"/>
  <c r="P462" i="5" s="1"/>
  <c r="S452" i="5" s="1"/>
  <c r="S453" i="5" s="1"/>
  <c r="S454" i="5" s="1"/>
  <c r="S455" i="5" s="1"/>
  <c r="S456" i="5" s="1"/>
  <c r="S457" i="5" s="1"/>
  <c r="S458" i="5" s="1"/>
  <c r="S459" i="5" s="1"/>
  <c r="S460" i="5" s="1"/>
  <c r="S461" i="5" s="1"/>
  <c r="S462" i="5" s="1"/>
  <c r="V452" i="5" s="1"/>
  <c r="V453" i="5" s="1"/>
  <c r="V454" i="5" s="1"/>
  <c r="V455" i="5" s="1"/>
  <c r="V456" i="5" s="1"/>
  <c r="V457" i="5" s="1"/>
  <c r="V458" i="5" s="1"/>
  <c r="V459" i="5" s="1"/>
  <c r="V460" i="5" s="1"/>
  <c r="V461" i="5" s="1"/>
  <c r="V462" i="5" s="1"/>
  <c r="D464" i="5" s="1"/>
  <c r="D465" i="5" s="1"/>
  <c r="D466" i="5" s="1"/>
  <c r="D467" i="5" s="1"/>
  <c r="D468" i="5" s="1"/>
  <c r="D469" i="5" s="1"/>
  <c r="D470" i="5" s="1"/>
  <c r="D471" i="5" s="1"/>
  <c r="D472" i="5" s="1"/>
  <c r="D473" i="5" s="1"/>
  <c r="D474" i="5" s="1"/>
  <c r="G464" i="5" s="1"/>
  <c r="G465" i="5" s="1"/>
  <c r="G466" i="5" s="1"/>
  <c r="G467" i="5" s="1"/>
  <c r="G468" i="5" s="1"/>
  <c r="G469" i="5" s="1"/>
  <c r="G470" i="5" s="1"/>
  <c r="G471" i="5" s="1"/>
  <c r="G472" i="5" s="1"/>
  <c r="G473" i="5" s="1"/>
  <c r="G474" i="5" s="1"/>
  <c r="J464" i="5" s="1"/>
  <c r="J465" i="5" s="1"/>
  <c r="J466" i="5" s="1"/>
  <c r="J467" i="5" s="1"/>
  <c r="J468" i="5" s="1"/>
  <c r="J469" i="5" s="1"/>
  <c r="J470" i="5" s="1"/>
  <c r="J471" i="5" s="1"/>
  <c r="J472" i="5" s="1"/>
  <c r="J473" i="5" s="1"/>
  <c r="J474" i="5" s="1"/>
  <c r="M464" i="5" s="1"/>
  <c r="M465" i="5" s="1"/>
  <c r="M466" i="5" s="1"/>
  <c r="M467" i="5" s="1"/>
  <c r="M468" i="5" s="1"/>
  <c r="M469" i="5" s="1"/>
  <c r="M470" i="5" s="1"/>
  <c r="M471" i="5" s="1"/>
  <c r="M472" i="5" s="1"/>
  <c r="M473" i="5" s="1"/>
  <c r="M474" i="5" s="1"/>
  <c r="P464" i="5" s="1"/>
  <c r="P465" i="5" s="1"/>
  <c r="P466" i="5" s="1"/>
  <c r="P467" i="5" s="1"/>
  <c r="P468" i="5" s="1"/>
  <c r="P469" i="5" s="1"/>
  <c r="P470" i="5" s="1"/>
  <c r="P471" i="5" s="1"/>
  <c r="P472" i="5" s="1"/>
  <c r="P473" i="5" s="1"/>
  <c r="P474" i="5" s="1"/>
  <c r="S464" i="5" s="1"/>
  <c r="S465" i="5" s="1"/>
  <c r="S466" i="5" s="1"/>
  <c r="S467" i="5" s="1"/>
  <c r="S468" i="5" s="1"/>
  <c r="S469" i="5" s="1"/>
  <c r="S470" i="5" s="1"/>
  <c r="S471" i="5" s="1"/>
  <c r="S472" i="5" s="1"/>
  <c r="S473" i="5" s="1"/>
  <c r="S474" i="5" s="1"/>
  <c r="V464" i="5" s="1"/>
  <c r="V465" i="5" s="1"/>
  <c r="V466" i="5" s="1"/>
  <c r="V467" i="5" s="1"/>
  <c r="V468" i="5" s="1"/>
  <c r="V469" i="5" s="1"/>
  <c r="V470" i="5" s="1"/>
  <c r="V471" i="5" s="1"/>
  <c r="V472" i="5" s="1"/>
  <c r="V473" i="5" s="1"/>
  <c r="V474" i="5" s="1"/>
  <c r="D476" i="5" s="1"/>
  <c r="D477" i="5" s="1"/>
  <c r="D478" i="5" s="1"/>
  <c r="D479" i="5" s="1"/>
  <c r="D480" i="5" s="1"/>
  <c r="D481" i="5" s="1"/>
  <c r="D482" i="5" s="1"/>
  <c r="D483" i="5" s="1"/>
  <c r="D484" i="5" s="1"/>
  <c r="D485" i="5" s="1"/>
  <c r="D486" i="5" s="1"/>
  <c r="G476" i="5" s="1"/>
  <c r="G477" i="5" s="1"/>
  <c r="G478" i="5" s="1"/>
  <c r="G479" i="5" s="1"/>
  <c r="G480" i="5" s="1"/>
  <c r="G481" i="5" s="1"/>
  <c r="G482" i="5" s="1"/>
  <c r="G483" i="5" s="1"/>
  <c r="G484" i="5" s="1"/>
  <c r="G485" i="5" s="1"/>
  <c r="G486" i="5" s="1"/>
  <c r="J476" i="5" s="1"/>
  <c r="J477" i="5" s="1"/>
  <c r="J478" i="5" s="1"/>
  <c r="J479" i="5" s="1"/>
  <c r="J480" i="5" s="1"/>
  <c r="J481" i="5" s="1"/>
  <c r="J482" i="5" s="1"/>
  <c r="J483" i="5" s="1"/>
  <c r="J484" i="5" s="1"/>
  <c r="J485" i="5" s="1"/>
  <c r="J486" i="5" s="1"/>
  <c r="M476" i="5" s="1"/>
  <c r="M477" i="5" s="1"/>
  <c r="M478" i="5" s="1"/>
  <c r="M479" i="5" s="1"/>
  <c r="M480" i="5" s="1"/>
  <c r="M481" i="5" s="1"/>
  <c r="M482" i="5" s="1"/>
  <c r="M483" i="5" s="1"/>
  <c r="M484" i="5" s="1"/>
  <c r="M485" i="5" s="1"/>
  <c r="M486" i="5" s="1"/>
  <c r="P476" i="5" s="1"/>
  <c r="P477" i="5" s="1"/>
  <c r="P478" i="5" s="1"/>
  <c r="P479" i="5" s="1"/>
  <c r="P480" i="5" s="1"/>
  <c r="P481" i="5" s="1"/>
  <c r="P482" i="5" s="1"/>
  <c r="P483" i="5" s="1"/>
  <c r="P484" i="5" s="1"/>
  <c r="P485" i="5" s="1"/>
  <c r="P486" i="5" s="1"/>
  <c r="S476" i="5" s="1"/>
  <c r="S477" i="5" s="1"/>
  <c r="S478" i="5" s="1"/>
  <c r="S479" i="5" s="1"/>
  <c r="S480" i="5" s="1"/>
  <c r="S481" i="5" s="1"/>
  <c r="S482" i="5" s="1"/>
  <c r="S483" i="5" s="1"/>
  <c r="S484" i="5" s="1"/>
  <c r="S485" i="5" s="1"/>
  <c r="S486" i="5" s="1"/>
  <c r="V476" i="5" s="1"/>
  <c r="V477" i="5" s="1"/>
  <c r="V478" i="5" s="1"/>
  <c r="V479" i="5" s="1"/>
  <c r="V480" i="5" s="1"/>
  <c r="V481" i="5" s="1"/>
  <c r="V482" i="5" s="1"/>
  <c r="V483" i="5" s="1"/>
  <c r="V484" i="5" s="1"/>
  <c r="V485" i="5" s="1"/>
  <c r="V486" i="5" s="1"/>
  <c r="D488" i="5" s="1"/>
  <c r="D489" i="5" s="1"/>
  <c r="D490" i="5" s="1"/>
  <c r="D491" i="5" s="1"/>
  <c r="D492" i="5" s="1"/>
  <c r="D493" i="5" s="1"/>
  <c r="D494" i="5" s="1"/>
  <c r="D495" i="5" s="1"/>
  <c r="D496" i="5" s="1"/>
  <c r="D497" i="5" s="1"/>
  <c r="D498" i="5" s="1"/>
  <c r="G488" i="5" s="1"/>
  <c r="G489" i="5" s="1"/>
  <c r="G490" i="5" s="1"/>
  <c r="G491" i="5" s="1"/>
  <c r="G492" i="5" s="1"/>
  <c r="G493" i="5" s="1"/>
  <c r="G494" i="5" s="1"/>
  <c r="G495" i="5" s="1"/>
  <c r="G496" i="5" s="1"/>
  <c r="G497" i="5" s="1"/>
  <c r="G498" i="5" s="1"/>
  <c r="J488" i="5" s="1"/>
  <c r="J489" i="5" s="1"/>
  <c r="J490" i="5" s="1"/>
  <c r="J491" i="5" s="1"/>
  <c r="J492" i="5" s="1"/>
  <c r="J493" i="5" s="1"/>
  <c r="J494" i="5" s="1"/>
  <c r="J495" i="5" s="1"/>
  <c r="J496" i="5" s="1"/>
  <c r="J497" i="5" s="1"/>
  <c r="J498" i="5" s="1"/>
  <c r="M488" i="5" s="1"/>
  <c r="M489" i="5" s="1"/>
  <c r="M490" i="5" s="1"/>
  <c r="M491" i="5" s="1"/>
  <c r="M492" i="5" s="1"/>
  <c r="M493" i="5" s="1"/>
  <c r="M494" i="5" s="1"/>
  <c r="M495" i="5" s="1"/>
  <c r="M496" i="5" s="1"/>
  <c r="M497" i="5" s="1"/>
  <c r="M498" i="5" s="1"/>
  <c r="P488" i="5" s="1"/>
  <c r="P489" i="5" s="1"/>
  <c r="P490" i="5" s="1"/>
  <c r="P491" i="5" s="1"/>
  <c r="P492" i="5" s="1"/>
  <c r="P493" i="5" s="1"/>
  <c r="P494" i="5" s="1"/>
  <c r="P495" i="5" s="1"/>
  <c r="P496" i="5" s="1"/>
  <c r="P497" i="5" s="1"/>
  <c r="P498" i="5" s="1"/>
  <c r="S488" i="5" s="1"/>
  <c r="S489" i="5" s="1"/>
  <c r="S490" i="5" s="1"/>
  <c r="S491" i="5" s="1"/>
  <c r="S492" i="5" s="1"/>
  <c r="S493" i="5" s="1"/>
  <c r="S494" i="5" s="1"/>
  <c r="S495" i="5" s="1"/>
  <c r="S496" i="5" s="1"/>
  <c r="S497" i="5" s="1"/>
  <c r="S498" i="5" s="1"/>
  <c r="V488" i="5" s="1"/>
  <c r="V489" i="5" s="1"/>
  <c r="V490" i="5" s="1"/>
  <c r="V491" i="5" s="1"/>
  <c r="V492" i="5" s="1"/>
  <c r="V493" i="5" s="1"/>
  <c r="V494" i="5" s="1"/>
  <c r="V495" i="5" s="1"/>
  <c r="V496" i="5" s="1"/>
  <c r="V497" i="5" s="1"/>
  <c r="V498" i="5" s="1"/>
  <c r="D500" i="5" s="1"/>
  <c r="D501" i="5" s="1"/>
  <c r="D502" i="5" s="1"/>
  <c r="D503" i="5" s="1"/>
  <c r="D504" i="5" s="1"/>
  <c r="D505" i="5" s="1"/>
  <c r="D506" i="5" s="1"/>
  <c r="D507" i="5" s="1"/>
  <c r="D508" i="5" s="1"/>
  <c r="D509" i="5" s="1"/>
  <c r="D510" i="5" s="1"/>
  <c r="G500" i="5" s="1"/>
  <c r="G501" i="5" s="1"/>
  <c r="G502" i="5" s="1"/>
  <c r="G503" i="5" s="1"/>
  <c r="G504" i="5" s="1"/>
  <c r="G505" i="5" s="1"/>
  <c r="G506" i="5" s="1"/>
  <c r="G507" i="5" s="1"/>
  <c r="G508" i="5" s="1"/>
  <c r="G509" i="5" s="1"/>
  <c r="G510" i="5" s="1"/>
  <c r="J500" i="5" s="1"/>
  <c r="J501" i="5" s="1"/>
  <c r="J502" i="5" s="1"/>
  <c r="J503" i="5" s="1"/>
  <c r="J504" i="5" s="1"/>
  <c r="J505" i="5" s="1"/>
  <c r="J506" i="5" s="1"/>
  <c r="J507" i="5" s="1"/>
  <c r="J508" i="5" s="1"/>
  <c r="J509" i="5" s="1"/>
  <c r="J510" i="5" s="1"/>
  <c r="M500" i="5" s="1"/>
  <c r="M501" i="5" s="1"/>
  <c r="M502" i="5" s="1"/>
  <c r="M503" i="5" s="1"/>
  <c r="M504" i="5" s="1"/>
  <c r="M505" i="5" s="1"/>
  <c r="M506" i="5" s="1"/>
  <c r="M507" i="5" s="1"/>
  <c r="M508" i="5" s="1"/>
  <c r="M509" i="5" s="1"/>
  <c r="M510" i="5" s="1"/>
  <c r="P500" i="5" s="1"/>
  <c r="P501" i="5" s="1"/>
  <c r="P502" i="5" s="1"/>
  <c r="P503" i="5" s="1"/>
  <c r="P504" i="5" s="1"/>
  <c r="P505" i="5" s="1"/>
  <c r="P506" i="5" s="1"/>
  <c r="P507" i="5" s="1"/>
  <c r="P508" i="5" s="1"/>
  <c r="P509" i="5" s="1"/>
  <c r="P510" i="5" s="1"/>
  <c r="S500" i="5" s="1"/>
  <c r="S501" i="5" s="1"/>
  <c r="S502" i="5" s="1"/>
  <c r="S503" i="5" s="1"/>
  <c r="S504" i="5" s="1"/>
  <c r="S505" i="5" s="1"/>
  <c r="S506" i="5" s="1"/>
  <c r="S507" i="5" s="1"/>
  <c r="S508" i="5" s="1"/>
  <c r="S509" i="5" s="1"/>
  <c r="S510" i="5" s="1"/>
  <c r="V500" i="5" s="1"/>
  <c r="V501" i="5" s="1"/>
  <c r="V502" i="5" s="1"/>
  <c r="V503" i="5" s="1"/>
  <c r="V504" i="5" s="1"/>
  <c r="V505" i="5" s="1"/>
  <c r="V506" i="5" s="1"/>
  <c r="V507" i="5" s="1"/>
  <c r="V508" i="5" s="1"/>
  <c r="V509" i="5" s="1"/>
  <c r="V510" i="5" s="1"/>
  <c r="D512" i="5" s="1"/>
  <c r="D513" i="5" s="1"/>
  <c r="D514" i="5" s="1"/>
  <c r="D515" i="5" s="1"/>
  <c r="D516" i="5" s="1"/>
  <c r="D517" i="5" s="1"/>
  <c r="D518" i="5" s="1"/>
  <c r="D519" i="5" s="1"/>
  <c r="D520" i="5" s="1"/>
  <c r="D521" i="5" s="1"/>
  <c r="D522" i="5" s="1"/>
  <c r="G512" i="5" s="1"/>
  <c r="G513" i="5" s="1"/>
  <c r="G514" i="5" s="1"/>
  <c r="G515" i="5" s="1"/>
  <c r="G516" i="5" s="1"/>
  <c r="G517" i="5" s="1"/>
  <c r="G518" i="5" s="1"/>
  <c r="G519" i="5" s="1"/>
  <c r="G520" i="5" s="1"/>
  <c r="G521" i="5" s="1"/>
  <c r="G522" i="5" s="1"/>
  <c r="J512" i="5" s="1"/>
  <c r="J513" i="5" s="1"/>
  <c r="J514" i="5" s="1"/>
  <c r="J515" i="5" s="1"/>
  <c r="J516" i="5" s="1"/>
  <c r="J517" i="5" s="1"/>
  <c r="J518" i="5" s="1"/>
  <c r="J519" i="5" s="1"/>
  <c r="J520" i="5" s="1"/>
  <c r="J521" i="5" s="1"/>
  <c r="J522" i="5" s="1"/>
  <c r="M512" i="5" s="1"/>
  <c r="M513" i="5" s="1"/>
  <c r="M514" i="5" s="1"/>
  <c r="M515" i="5" s="1"/>
  <c r="M516" i="5" s="1"/>
  <c r="M517" i="5" s="1"/>
  <c r="M518" i="5" s="1"/>
  <c r="M519" i="5" s="1"/>
  <c r="M520" i="5" s="1"/>
  <c r="M521" i="5" s="1"/>
  <c r="M522" i="5" s="1"/>
  <c r="P512" i="5" s="1"/>
  <c r="P513" i="5" s="1"/>
  <c r="P514" i="5" s="1"/>
  <c r="P515" i="5" s="1"/>
  <c r="P516" i="5" s="1"/>
  <c r="P517" i="5" s="1"/>
  <c r="P518" i="5" s="1"/>
  <c r="P519" i="5" s="1"/>
  <c r="P520" i="5" s="1"/>
  <c r="P521" i="5" s="1"/>
  <c r="P522" i="5" s="1"/>
  <c r="S512" i="5" s="1"/>
  <c r="S513" i="5" s="1"/>
  <c r="S514" i="5" s="1"/>
  <c r="S515" i="5" s="1"/>
  <c r="S516" i="5" s="1"/>
  <c r="S517" i="5" s="1"/>
  <c r="S518" i="5" s="1"/>
  <c r="S519" i="5" s="1"/>
  <c r="S520" i="5" s="1"/>
  <c r="S521" i="5" s="1"/>
  <c r="S522" i="5" s="1"/>
  <c r="V512" i="5" s="1"/>
  <c r="V513" i="5" s="1"/>
  <c r="V514" i="5" s="1"/>
  <c r="V515" i="5" s="1"/>
  <c r="V516" i="5" s="1"/>
  <c r="V517" i="5" s="1"/>
  <c r="V518" i="5" s="1"/>
  <c r="V519" i="5" s="1"/>
  <c r="V520" i="5" s="1"/>
  <c r="V521" i="5" s="1"/>
  <c r="V522" i="5" s="1"/>
  <c r="D524" i="5" s="1"/>
  <c r="D525" i="5" s="1"/>
  <c r="D526" i="5" s="1"/>
  <c r="D527" i="5" s="1"/>
  <c r="D528" i="5" s="1"/>
  <c r="D529" i="5" s="1"/>
  <c r="D530" i="5" s="1"/>
  <c r="D531" i="5" s="1"/>
  <c r="D532" i="5" s="1"/>
  <c r="D533" i="5" s="1"/>
  <c r="D534" i="5" s="1"/>
  <c r="G524" i="5" s="1"/>
  <c r="G525" i="5" s="1"/>
  <c r="G526" i="5" s="1"/>
  <c r="G527" i="5" s="1"/>
  <c r="G528" i="5" s="1"/>
  <c r="G529" i="5" s="1"/>
  <c r="G530" i="5" s="1"/>
  <c r="G531" i="5" s="1"/>
  <c r="G532" i="5" s="1"/>
  <c r="G533" i="5" s="1"/>
  <c r="G534" i="5" s="1"/>
  <c r="J524" i="5" s="1"/>
  <c r="J525" i="5" s="1"/>
  <c r="J526" i="5" s="1"/>
  <c r="J527" i="5" s="1"/>
  <c r="J528" i="5" s="1"/>
  <c r="J529" i="5" s="1"/>
  <c r="J530" i="5" s="1"/>
  <c r="J531" i="5" s="1"/>
  <c r="J532" i="5" s="1"/>
  <c r="J533" i="5" s="1"/>
  <c r="J534" i="5" s="1"/>
  <c r="M524" i="5" s="1"/>
  <c r="M525" i="5" s="1"/>
  <c r="M526" i="5" s="1"/>
  <c r="M527" i="5" s="1"/>
  <c r="M528" i="5" s="1"/>
  <c r="M529" i="5" s="1"/>
  <c r="M530" i="5" s="1"/>
  <c r="M531" i="5" s="1"/>
  <c r="M532" i="5" s="1"/>
  <c r="M533" i="5" s="1"/>
  <c r="M534" i="5" s="1"/>
  <c r="P524" i="5" s="1"/>
  <c r="P525" i="5" s="1"/>
  <c r="P526" i="5" s="1"/>
  <c r="P527" i="5" s="1"/>
  <c r="P528" i="5" s="1"/>
  <c r="P529" i="5" s="1"/>
  <c r="P530" i="5" s="1"/>
  <c r="P531" i="5" s="1"/>
  <c r="P532" i="5" s="1"/>
  <c r="P533" i="5" s="1"/>
  <c r="P534" i="5" s="1"/>
  <c r="S524" i="5" s="1"/>
  <c r="S525" i="5" s="1"/>
  <c r="S526" i="5" s="1"/>
  <c r="S527" i="5" s="1"/>
  <c r="S528" i="5" s="1"/>
  <c r="S529" i="5" s="1"/>
  <c r="S530" i="5" s="1"/>
  <c r="S531" i="5" s="1"/>
  <c r="S532" i="5" s="1"/>
  <c r="S533" i="5" s="1"/>
  <c r="S534" i="5" s="1"/>
  <c r="V524" i="5" s="1"/>
  <c r="V525" i="5" s="1"/>
  <c r="V526" i="5" s="1"/>
  <c r="V527" i="5" s="1"/>
  <c r="V528" i="5" s="1"/>
  <c r="V529" i="5" s="1"/>
  <c r="V530" i="5" s="1"/>
  <c r="V531" i="5" s="1"/>
  <c r="V532" i="5" s="1"/>
  <c r="V533" i="5" s="1"/>
  <c r="V534" i="5" s="1"/>
  <c r="D536" i="5" s="1"/>
  <c r="D537" i="5" s="1"/>
  <c r="D538" i="5" s="1"/>
  <c r="D539" i="5" s="1"/>
  <c r="D540" i="5" s="1"/>
  <c r="D541" i="5" s="1"/>
  <c r="D542" i="5" s="1"/>
  <c r="D543" i="5" s="1"/>
  <c r="D544" i="5" s="1"/>
  <c r="D545" i="5" s="1"/>
  <c r="D546" i="5" s="1"/>
  <c r="G536" i="5" s="1"/>
  <c r="G537" i="5" s="1"/>
  <c r="G538" i="5" s="1"/>
  <c r="G539" i="5" s="1"/>
  <c r="G540" i="5" s="1"/>
  <c r="G541" i="5" s="1"/>
  <c r="G542" i="5" s="1"/>
  <c r="G543" i="5" s="1"/>
  <c r="G544" i="5" s="1"/>
  <c r="G545" i="5" s="1"/>
  <c r="G546" i="5" s="1"/>
  <c r="J536" i="5" s="1"/>
  <c r="J537" i="5" s="1"/>
  <c r="J538" i="5" s="1"/>
  <c r="J539" i="5" s="1"/>
  <c r="J540" i="5" s="1"/>
  <c r="J541" i="5" s="1"/>
  <c r="J542" i="5" s="1"/>
  <c r="J543" i="5" s="1"/>
  <c r="J544" i="5" s="1"/>
  <c r="J545" i="5" s="1"/>
  <c r="J546" i="5" s="1"/>
  <c r="M536" i="5" s="1"/>
  <c r="M537" i="5" s="1"/>
  <c r="M538" i="5" s="1"/>
  <c r="M539" i="5" s="1"/>
  <c r="M540" i="5" s="1"/>
  <c r="M541" i="5" s="1"/>
  <c r="M542" i="5" s="1"/>
  <c r="M543" i="5" s="1"/>
  <c r="M544" i="5" s="1"/>
  <c r="M545" i="5" s="1"/>
  <c r="M546" i="5" s="1"/>
  <c r="P536" i="5" s="1"/>
  <c r="P537" i="5" s="1"/>
  <c r="P538" i="5" s="1"/>
  <c r="P539" i="5" s="1"/>
  <c r="P540" i="5" s="1"/>
  <c r="P541" i="5" s="1"/>
  <c r="P542" i="5" s="1"/>
  <c r="P543" i="5" s="1"/>
  <c r="P544" i="5" s="1"/>
  <c r="P545" i="5" s="1"/>
  <c r="P546" i="5" s="1"/>
  <c r="S536" i="5" s="1"/>
  <c r="S537" i="5" s="1"/>
  <c r="S538" i="5" s="1"/>
  <c r="S539" i="5" s="1"/>
  <c r="S540" i="5" s="1"/>
  <c r="S541" i="5" s="1"/>
  <c r="S542" i="5" s="1"/>
  <c r="S543" i="5" s="1"/>
  <c r="S544" i="5" s="1"/>
  <c r="S545" i="5" s="1"/>
  <c r="S546" i="5" s="1"/>
  <c r="V536" i="5" s="1"/>
  <c r="V537" i="5" s="1"/>
  <c r="V538" i="5" s="1"/>
  <c r="V539" i="5" s="1"/>
  <c r="V540" i="5" s="1"/>
  <c r="V541" i="5" s="1"/>
  <c r="V542" i="5" s="1"/>
  <c r="V543" i="5" s="1"/>
  <c r="V544" i="5" s="1"/>
  <c r="V545" i="5" s="1"/>
  <c r="V546" i="5" s="1"/>
  <c r="D548" i="5" s="1"/>
  <c r="D549" i="5" s="1"/>
  <c r="D550" i="5" s="1"/>
  <c r="D551" i="5" s="1"/>
  <c r="D552" i="5" s="1"/>
  <c r="D553" i="5" s="1"/>
  <c r="D554" i="5" s="1"/>
  <c r="D555" i="5" s="1"/>
  <c r="D556" i="5" s="1"/>
  <c r="D557" i="5" s="1"/>
  <c r="D558" i="5" s="1"/>
  <c r="G548" i="5" s="1"/>
  <c r="G549" i="5" s="1"/>
  <c r="G550" i="5" s="1"/>
  <c r="G551" i="5" s="1"/>
  <c r="G552" i="5" s="1"/>
  <c r="G553" i="5" s="1"/>
  <c r="G554" i="5" s="1"/>
  <c r="G555" i="5" s="1"/>
  <c r="G556" i="5" s="1"/>
  <c r="G557" i="5" s="1"/>
  <c r="G558" i="5" s="1"/>
  <c r="J548" i="5" s="1"/>
  <c r="J549" i="5" s="1"/>
  <c r="J550" i="5" s="1"/>
  <c r="J551" i="5" s="1"/>
  <c r="J552" i="5" s="1"/>
  <c r="J553" i="5" s="1"/>
  <c r="J554" i="5" s="1"/>
  <c r="J555" i="5" s="1"/>
  <c r="J556" i="5" s="1"/>
  <c r="J557" i="5" s="1"/>
  <c r="J558" i="5" s="1"/>
  <c r="M548" i="5" s="1"/>
  <c r="M549" i="5" s="1"/>
  <c r="M550" i="5" s="1"/>
  <c r="M551" i="5" s="1"/>
  <c r="M552" i="5" s="1"/>
  <c r="M553" i="5" s="1"/>
  <c r="M554" i="5" s="1"/>
  <c r="M555" i="5" s="1"/>
  <c r="M556" i="5" s="1"/>
  <c r="M557" i="5" s="1"/>
  <c r="M558" i="5" s="1"/>
  <c r="P548" i="5" s="1"/>
  <c r="P549" i="5" s="1"/>
  <c r="P550" i="5" s="1"/>
  <c r="P551" i="5" s="1"/>
  <c r="P552" i="5" s="1"/>
  <c r="P553" i="5" s="1"/>
  <c r="P554" i="5" s="1"/>
  <c r="P555" i="5" s="1"/>
  <c r="P556" i="5" s="1"/>
  <c r="P557" i="5" s="1"/>
  <c r="P558" i="5" s="1"/>
  <c r="S548" i="5" s="1"/>
  <c r="S549" i="5" s="1"/>
  <c r="S550" i="5" s="1"/>
  <c r="S551" i="5" s="1"/>
  <c r="S552" i="5" s="1"/>
  <c r="S553" i="5" s="1"/>
  <c r="S554" i="5" s="1"/>
  <c r="S555" i="5" s="1"/>
  <c r="S556" i="5" s="1"/>
  <c r="S557" i="5" s="1"/>
  <c r="S558" i="5" s="1"/>
  <c r="V548" i="5" s="1"/>
  <c r="V549" i="5" s="1"/>
  <c r="V550" i="5" s="1"/>
  <c r="V551" i="5" s="1"/>
  <c r="V552" i="5" s="1"/>
  <c r="V553" i="5" s="1"/>
  <c r="V554" i="5" s="1"/>
  <c r="V555" i="5" s="1"/>
  <c r="V556" i="5" s="1"/>
  <c r="V557" i="5" s="1"/>
  <c r="V558" i="5" s="1"/>
  <c r="D560" i="5" s="1"/>
  <c r="D561" i="5" s="1"/>
  <c r="D562" i="5" s="1"/>
  <c r="D563" i="5" s="1"/>
  <c r="D564" i="5" s="1"/>
  <c r="D565" i="5" s="1"/>
  <c r="D566" i="5" s="1"/>
  <c r="D567" i="5" s="1"/>
  <c r="D568" i="5" s="1"/>
  <c r="D569" i="5" s="1"/>
  <c r="D570" i="5" s="1"/>
  <c r="G560" i="5" s="1"/>
  <c r="G561" i="5" s="1"/>
  <c r="G562" i="5" s="1"/>
  <c r="G563" i="5" s="1"/>
  <c r="G564" i="5" s="1"/>
  <c r="G565" i="5" s="1"/>
  <c r="G566" i="5" s="1"/>
  <c r="G567" i="5" s="1"/>
  <c r="G568" i="5" s="1"/>
  <c r="G569" i="5" s="1"/>
  <c r="G570" i="5" s="1"/>
  <c r="J560" i="5" s="1"/>
  <c r="J561" i="5" s="1"/>
  <c r="J562" i="5" s="1"/>
  <c r="J563" i="5" s="1"/>
  <c r="J564" i="5" s="1"/>
  <c r="J565" i="5" s="1"/>
  <c r="J566" i="5" s="1"/>
  <c r="J567" i="5" s="1"/>
  <c r="J568" i="5" s="1"/>
  <c r="J569" i="5" s="1"/>
  <c r="J570" i="5" s="1"/>
  <c r="M560" i="5" s="1"/>
  <c r="M561" i="5" s="1"/>
  <c r="M562" i="5" s="1"/>
  <c r="M563" i="5" s="1"/>
  <c r="M564" i="5" s="1"/>
  <c r="M565" i="5" s="1"/>
  <c r="M566" i="5" s="1"/>
  <c r="M567" i="5" s="1"/>
  <c r="M568" i="5" s="1"/>
  <c r="M569" i="5" s="1"/>
  <c r="M570" i="5" s="1"/>
  <c r="P560" i="5" s="1"/>
  <c r="P561" i="5" s="1"/>
  <c r="P562" i="5" s="1"/>
  <c r="P563" i="5" s="1"/>
  <c r="P564" i="5" s="1"/>
  <c r="P565" i="5" s="1"/>
  <c r="P566" i="5" s="1"/>
  <c r="P567" i="5" s="1"/>
  <c r="P568" i="5" s="1"/>
  <c r="P569" i="5" s="1"/>
  <c r="P570" i="5" s="1"/>
  <c r="S560" i="5" s="1"/>
  <c r="S561" i="5" s="1"/>
  <c r="S562" i="5" s="1"/>
  <c r="S563" i="5" s="1"/>
  <c r="S564" i="5" s="1"/>
  <c r="S565" i="5" s="1"/>
  <c r="S566" i="5" s="1"/>
  <c r="S567" i="5" s="1"/>
  <c r="S568" i="5" s="1"/>
  <c r="S569" i="5" s="1"/>
  <c r="S570" i="5" s="1"/>
  <c r="V560" i="5" s="1"/>
  <c r="V561" i="5" s="1"/>
  <c r="V562" i="5" s="1"/>
  <c r="V563" i="5" s="1"/>
  <c r="V564" i="5" s="1"/>
  <c r="V565" i="5" s="1"/>
  <c r="V566" i="5" s="1"/>
  <c r="V567" i="5" s="1"/>
  <c r="V568" i="5" s="1"/>
  <c r="V569" i="5" s="1"/>
  <c r="V570" i="5" s="1"/>
  <c r="D572" i="5" s="1"/>
  <c r="D573" i="5" s="1"/>
  <c r="D574" i="5" s="1"/>
  <c r="D575" i="5" s="1"/>
  <c r="D576" i="5" s="1"/>
  <c r="D577" i="5" s="1"/>
  <c r="D578" i="5" s="1"/>
  <c r="D579" i="5" s="1"/>
  <c r="D580" i="5" s="1"/>
  <c r="D581" i="5" s="1"/>
  <c r="D582" i="5" s="1"/>
  <c r="G572" i="5" s="1"/>
  <c r="G573" i="5" s="1"/>
  <c r="G574" i="5" s="1"/>
  <c r="G575" i="5" s="1"/>
  <c r="G576" i="5" s="1"/>
  <c r="G577" i="5" s="1"/>
  <c r="G578" i="5" s="1"/>
  <c r="G579" i="5" s="1"/>
  <c r="G580" i="5" s="1"/>
  <c r="G581" i="5" s="1"/>
  <c r="G582" i="5" s="1"/>
  <c r="J572" i="5" s="1"/>
  <c r="J573" i="5" s="1"/>
  <c r="J574" i="5" s="1"/>
  <c r="J575" i="5" s="1"/>
  <c r="J576" i="5" s="1"/>
  <c r="J577" i="5" s="1"/>
  <c r="J578" i="5" s="1"/>
  <c r="J579" i="5" s="1"/>
  <c r="J580" i="5" s="1"/>
  <c r="J581" i="5" s="1"/>
  <c r="J582" i="5" s="1"/>
  <c r="M572" i="5" s="1"/>
  <c r="M573" i="5" s="1"/>
  <c r="M574" i="5" s="1"/>
  <c r="M575" i="5" s="1"/>
  <c r="M576" i="5" s="1"/>
  <c r="M577" i="5" s="1"/>
  <c r="M578" i="5" s="1"/>
  <c r="M579" i="5" s="1"/>
  <c r="M580" i="5" s="1"/>
  <c r="M581" i="5" s="1"/>
  <c r="M582" i="5" s="1"/>
  <c r="P572" i="5" s="1"/>
  <c r="P573" i="5" s="1"/>
  <c r="P574" i="5" s="1"/>
  <c r="P575" i="5" s="1"/>
  <c r="P576" i="5" s="1"/>
  <c r="P577" i="5" s="1"/>
  <c r="P578" i="5" s="1"/>
  <c r="P579" i="5" s="1"/>
  <c r="P580" i="5" s="1"/>
  <c r="P581" i="5" s="1"/>
  <c r="P582" i="5" s="1"/>
  <c r="S572" i="5" s="1"/>
  <c r="S573" i="5" s="1"/>
  <c r="S574" i="5" s="1"/>
  <c r="S575" i="5" s="1"/>
  <c r="S576" i="5" s="1"/>
  <c r="S577" i="5" s="1"/>
  <c r="S578" i="5" s="1"/>
  <c r="S579" i="5" s="1"/>
  <c r="S580" i="5" s="1"/>
  <c r="S581" i="5" s="1"/>
  <c r="S582" i="5" s="1"/>
  <c r="V572" i="5" s="1"/>
  <c r="V573" i="5" s="1"/>
  <c r="V574" i="5" s="1"/>
  <c r="V575" i="5" s="1"/>
  <c r="V576" i="5" s="1"/>
  <c r="V577" i="5" s="1"/>
  <c r="V578" i="5" s="1"/>
  <c r="V579" i="5" s="1"/>
  <c r="V580" i="5" s="1"/>
  <c r="V581" i="5" s="1"/>
  <c r="V582" i="5" s="1"/>
  <c r="D584" i="5" s="1"/>
  <c r="D585" i="5" s="1"/>
  <c r="D586" i="5" s="1"/>
  <c r="D587" i="5" s="1"/>
  <c r="D588" i="5" s="1"/>
  <c r="D589" i="5" s="1"/>
  <c r="D590" i="5" s="1"/>
  <c r="D591" i="5" s="1"/>
  <c r="D592" i="5" s="1"/>
  <c r="D593" i="5" s="1"/>
  <c r="D594" i="5" s="1"/>
  <c r="G584" i="5" s="1"/>
  <c r="G585" i="5" s="1"/>
  <c r="G586" i="5" s="1"/>
  <c r="G587" i="5" s="1"/>
  <c r="G588" i="5" s="1"/>
  <c r="G589" i="5" s="1"/>
  <c r="G590" i="5" s="1"/>
  <c r="G591" i="5" s="1"/>
  <c r="G592" i="5" s="1"/>
  <c r="G593" i="5" s="1"/>
  <c r="G594" i="5" s="1"/>
  <c r="J584" i="5" s="1"/>
  <c r="J585" i="5" s="1"/>
  <c r="J586" i="5" s="1"/>
  <c r="J587" i="5" s="1"/>
  <c r="J588" i="5" s="1"/>
  <c r="J589" i="5" s="1"/>
  <c r="J590" i="5" s="1"/>
  <c r="J591" i="5" s="1"/>
  <c r="J592" i="5" s="1"/>
  <c r="J593" i="5" s="1"/>
  <c r="J594" i="5" s="1"/>
  <c r="M584" i="5" s="1"/>
  <c r="M585" i="5" s="1"/>
  <c r="M586" i="5" s="1"/>
  <c r="M587" i="5" s="1"/>
  <c r="M588" i="5" s="1"/>
  <c r="M589" i="5" s="1"/>
  <c r="M590" i="5" s="1"/>
  <c r="M591" i="5" s="1"/>
  <c r="M592" i="5" s="1"/>
  <c r="M593" i="5" s="1"/>
  <c r="M594" i="5" s="1"/>
  <c r="P584" i="5" s="1"/>
  <c r="P585" i="5" s="1"/>
  <c r="P586" i="5" s="1"/>
  <c r="P587" i="5" s="1"/>
  <c r="P588" i="5" s="1"/>
  <c r="P589" i="5" s="1"/>
  <c r="P590" i="5" s="1"/>
  <c r="P591" i="5" s="1"/>
  <c r="P592" i="5" s="1"/>
  <c r="P593" i="5" s="1"/>
  <c r="P594" i="5" s="1"/>
  <c r="S584" i="5" s="1"/>
  <c r="S585" i="5" s="1"/>
  <c r="S586" i="5" s="1"/>
  <c r="S587" i="5" s="1"/>
  <c r="S588" i="5" s="1"/>
  <c r="S589" i="5" s="1"/>
  <c r="S590" i="5" s="1"/>
  <c r="S591" i="5" s="1"/>
  <c r="S592" i="5" s="1"/>
  <c r="S593" i="5" s="1"/>
  <c r="S594" i="5" s="1"/>
  <c r="V584" i="5" s="1"/>
  <c r="V585" i="5" s="1"/>
  <c r="V586" i="5" s="1"/>
  <c r="V587" i="5" s="1"/>
  <c r="V588" i="5" s="1"/>
  <c r="V589" i="5" s="1"/>
  <c r="V590" i="5" s="1"/>
  <c r="V591" i="5" s="1"/>
  <c r="V592" i="5" s="1"/>
  <c r="V593" i="5" s="1"/>
  <c r="V594" i="5" s="1"/>
  <c r="D596" i="5" s="1"/>
  <c r="D597" i="5" s="1"/>
  <c r="D598" i="5" s="1"/>
  <c r="D599" i="5" s="1"/>
  <c r="D600" i="5" s="1"/>
  <c r="D601" i="5" s="1"/>
  <c r="D602" i="5" s="1"/>
  <c r="D603" i="5" s="1"/>
  <c r="D604" i="5" s="1"/>
  <c r="D605" i="5" s="1"/>
  <c r="D606" i="5" s="1"/>
  <c r="G596" i="5" s="1"/>
  <c r="G597" i="5" s="1"/>
  <c r="G598" i="5" s="1"/>
  <c r="G599" i="5" s="1"/>
  <c r="G600" i="5" s="1"/>
  <c r="G601" i="5" s="1"/>
  <c r="G602" i="5" s="1"/>
  <c r="G603" i="5" s="1"/>
  <c r="G604" i="5" s="1"/>
  <c r="G605" i="5" s="1"/>
  <c r="G606" i="5" s="1"/>
  <c r="J596" i="5" s="1"/>
  <c r="J597" i="5" s="1"/>
  <c r="J598" i="5" s="1"/>
  <c r="J599" i="5" s="1"/>
  <c r="J600" i="5" s="1"/>
  <c r="J601" i="5" s="1"/>
  <c r="J602" i="5" s="1"/>
  <c r="J603" i="5" s="1"/>
  <c r="J604" i="5" s="1"/>
  <c r="J605" i="5" s="1"/>
  <c r="J606" i="5" s="1"/>
  <c r="M596" i="5" s="1"/>
  <c r="M597" i="5" s="1"/>
  <c r="M598" i="5" s="1"/>
  <c r="M599" i="5" s="1"/>
  <c r="M600" i="5" s="1"/>
  <c r="M601" i="5" s="1"/>
  <c r="M602" i="5" s="1"/>
  <c r="M603" i="5" s="1"/>
  <c r="M604" i="5" s="1"/>
  <c r="M605" i="5" s="1"/>
  <c r="M606" i="5" s="1"/>
  <c r="P596" i="5" s="1"/>
  <c r="P597" i="5" s="1"/>
  <c r="P598" i="5" s="1"/>
  <c r="P599" i="5" s="1"/>
  <c r="P600" i="5" s="1"/>
  <c r="P601" i="5" s="1"/>
  <c r="P602" i="5" s="1"/>
  <c r="P603" i="5" s="1"/>
  <c r="P604" i="5" s="1"/>
  <c r="P605" i="5" s="1"/>
  <c r="P606" i="5" s="1"/>
  <c r="S596" i="5" s="1"/>
  <c r="S597" i="5" s="1"/>
  <c r="S598" i="5" s="1"/>
  <c r="S599" i="5" s="1"/>
  <c r="S600" i="5" s="1"/>
  <c r="S601" i="5" s="1"/>
  <c r="S602" i="5" s="1"/>
  <c r="S603" i="5" s="1"/>
  <c r="S604" i="5" s="1"/>
  <c r="S605" i="5" s="1"/>
  <c r="S606" i="5" s="1"/>
  <c r="V596" i="5" s="1"/>
  <c r="V597" i="5" s="1"/>
  <c r="V598" i="5" s="1"/>
  <c r="V599" i="5" s="1"/>
  <c r="V600" i="5" s="1"/>
  <c r="V601" i="5" s="1"/>
  <c r="V602" i="5" s="1"/>
  <c r="V603" i="5" s="1"/>
  <c r="V604" i="5" s="1"/>
  <c r="V605" i="5" s="1"/>
  <c r="V606" i="5" s="1"/>
  <c r="D608" i="5" s="1"/>
  <c r="D609" i="5" s="1"/>
  <c r="D610" i="5" s="1"/>
  <c r="D611" i="5" s="1"/>
  <c r="D612" i="5" s="1"/>
  <c r="D613" i="5" s="1"/>
  <c r="D614" i="5" s="1"/>
  <c r="D615" i="5" s="1"/>
  <c r="D616" i="5" s="1"/>
  <c r="D617" i="5" s="1"/>
  <c r="D618" i="5" s="1"/>
  <c r="G608" i="5" s="1"/>
  <c r="G609" i="5" s="1"/>
  <c r="G610" i="5" s="1"/>
  <c r="G611" i="5" s="1"/>
  <c r="G612" i="5" s="1"/>
  <c r="G613" i="5" s="1"/>
  <c r="G614" i="5" s="1"/>
  <c r="G615" i="5" s="1"/>
  <c r="G616" i="5" s="1"/>
  <c r="G617" i="5" s="1"/>
  <c r="G618" i="5" s="1"/>
  <c r="J608" i="5" s="1"/>
  <c r="J609" i="5" s="1"/>
  <c r="J610" i="5" s="1"/>
  <c r="J611" i="5" s="1"/>
  <c r="J612" i="5" s="1"/>
  <c r="J613" i="5" s="1"/>
  <c r="J614" i="5" s="1"/>
  <c r="J615" i="5" s="1"/>
  <c r="J616" i="5" s="1"/>
  <c r="J617" i="5" s="1"/>
  <c r="J618" i="5" s="1"/>
  <c r="M608" i="5" s="1"/>
  <c r="M609" i="5" s="1"/>
  <c r="M610" i="5" s="1"/>
  <c r="M611" i="5" s="1"/>
  <c r="M612" i="5" s="1"/>
  <c r="M613" i="5" s="1"/>
  <c r="M614" i="5" s="1"/>
  <c r="M615" i="5" s="1"/>
  <c r="M616" i="5" s="1"/>
  <c r="M617" i="5" s="1"/>
  <c r="M618" i="5" s="1"/>
  <c r="P608" i="5" s="1"/>
  <c r="P609" i="5" s="1"/>
  <c r="P610" i="5" s="1"/>
  <c r="P611" i="5" s="1"/>
  <c r="P612" i="5" s="1"/>
  <c r="P613" i="5" s="1"/>
  <c r="P614" i="5" s="1"/>
  <c r="P615" i="5" s="1"/>
  <c r="P616" i="5" s="1"/>
  <c r="P617" i="5" s="1"/>
  <c r="P618" i="5" s="1"/>
  <c r="S608" i="5" s="1"/>
  <c r="S609" i="5" s="1"/>
  <c r="S610" i="5" s="1"/>
  <c r="S611" i="5" s="1"/>
  <c r="S612" i="5" s="1"/>
  <c r="S613" i="5" s="1"/>
  <c r="S614" i="5" s="1"/>
  <c r="S615" i="5" s="1"/>
  <c r="S616" i="5" s="1"/>
  <c r="S617" i="5" s="1"/>
  <c r="S618" i="5" s="1"/>
  <c r="V608" i="5" s="1"/>
  <c r="V609" i="5" s="1"/>
  <c r="V610" i="5" s="1"/>
  <c r="V611" i="5" s="1"/>
  <c r="V612" i="5" s="1"/>
  <c r="V613" i="5" s="1"/>
  <c r="V614" i="5" s="1"/>
  <c r="V615" i="5" s="1"/>
  <c r="V616" i="5" s="1"/>
  <c r="V617" i="5" s="1"/>
  <c r="V618" i="5" s="1"/>
  <c r="D620" i="5" s="1"/>
  <c r="D621" i="5" s="1"/>
  <c r="D622" i="5" s="1"/>
  <c r="D623" i="5" s="1"/>
  <c r="D624" i="5" s="1"/>
  <c r="D625" i="5" s="1"/>
  <c r="D626" i="5" s="1"/>
  <c r="D627" i="5" s="1"/>
  <c r="D628" i="5" s="1"/>
  <c r="D629" i="5" s="1"/>
  <c r="D630" i="5" s="1"/>
  <c r="G620" i="5" s="1"/>
  <c r="G621" i="5" s="1"/>
  <c r="G622" i="5" s="1"/>
  <c r="G623" i="5" s="1"/>
  <c r="G624" i="5" s="1"/>
  <c r="G625" i="5" s="1"/>
  <c r="G626" i="5" s="1"/>
  <c r="G627" i="5" s="1"/>
  <c r="G628" i="5" s="1"/>
  <c r="G629" i="5" s="1"/>
  <c r="G630" i="5" s="1"/>
  <c r="J620" i="5" s="1"/>
  <c r="J621" i="5" s="1"/>
  <c r="J622" i="5" s="1"/>
  <c r="J623" i="5" s="1"/>
  <c r="J624" i="5" s="1"/>
  <c r="J625" i="5" s="1"/>
  <c r="J626" i="5" s="1"/>
  <c r="J627" i="5" s="1"/>
  <c r="J628" i="5" s="1"/>
  <c r="J629" i="5" s="1"/>
  <c r="J630" i="5" s="1"/>
  <c r="M620" i="5" s="1"/>
  <c r="M621" i="5" s="1"/>
  <c r="M622" i="5" s="1"/>
  <c r="M623" i="5" s="1"/>
  <c r="M624" i="5" s="1"/>
  <c r="M625" i="5" s="1"/>
  <c r="M626" i="5" s="1"/>
  <c r="M627" i="5" s="1"/>
  <c r="M628" i="5" s="1"/>
  <c r="M629" i="5" s="1"/>
  <c r="M630" i="5" s="1"/>
  <c r="P620" i="5" s="1"/>
  <c r="P621" i="5" s="1"/>
  <c r="P622" i="5" s="1"/>
  <c r="P623" i="5" s="1"/>
  <c r="P624" i="5" s="1"/>
  <c r="P625" i="5" s="1"/>
  <c r="P626" i="5" s="1"/>
  <c r="P627" i="5" s="1"/>
  <c r="P628" i="5" s="1"/>
  <c r="P629" i="5" s="1"/>
  <c r="P630" i="5" s="1"/>
  <c r="S620" i="5" s="1"/>
  <c r="S621" i="5" s="1"/>
  <c r="S622" i="5" s="1"/>
  <c r="S623" i="5" s="1"/>
  <c r="S624" i="5" s="1"/>
  <c r="S625" i="5" s="1"/>
  <c r="S626" i="5" s="1"/>
  <c r="S627" i="5" s="1"/>
  <c r="S628" i="5" s="1"/>
  <c r="S629" i="5" s="1"/>
  <c r="S630" i="5" s="1"/>
  <c r="V620" i="5" s="1"/>
  <c r="V621" i="5" s="1"/>
  <c r="V622" i="5" s="1"/>
  <c r="V623" i="5" s="1"/>
  <c r="V624" i="5" s="1"/>
  <c r="V625" i="5" s="1"/>
  <c r="V626" i="5" s="1"/>
  <c r="V627" i="5" s="1"/>
  <c r="V628" i="5" s="1"/>
  <c r="V629" i="5" s="1"/>
  <c r="V630" i="5" s="1"/>
  <c r="D632" i="5" s="1"/>
  <c r="D633" i="5" s="1"/>
  <c r="D634" i="5" s="1"/>
  <c r="D635" i="5" s="1"/>
  <c r="D636" i="5" s="1"/>
  <c r="D637" i="5" s="1"/>
  <c r="D638" i="5" s="1"/>
  <c r="D639" i="5" s="1"/>
  <c r="D640" i="5" s="1"/>
  <c r="D641" i="5" s="1"/>
  <c r="D642" i="5" s="1"/>
  <c r="G632" i="5" s="1"/>
  <c r="G633" i="5" s="1"/>
  <c r="G634" i="5" s="1"/>
  <c r="G635" i="5" s="1"/>
  <c r="G636" i="5" s="1"/>
  <c r="G637" i="5" s="1"/>
  <c r="G638" i="5" s="1"/>
  <c r="G639" i="5" s="1"/>
  <c r="G640" i="5" s="1"/>
  <c r="G641" i="5" s="1"/>
  <c r="G642" i="5" s="1"/>
  <c r="J632" i="5" s="1"/>
  <c r="J633" i="5" s="1"/>
  <c r="J634" i="5" s="1"/>
  <c r="J635" i="5" s="1"/>
  <c r="J636" i="5" s="1"/>
  <c r="J637" i="5" s="1"/>
  <c r="J638" i="5" s="1"/>
  <c r="J639" i="5" s="1"/>
  <c r="J640" i="5" s="1"/>
  <c r="J641" i="5" s="1"/>
  <c r="J642" i="5" s="1"/>
  <c r="M632" i="5" s="1"/>
  <c r="M633" i="5" s="1"/>
  <c r="M634" i="5" s="1"/>
  <c r="M635" i="5" s="1"/>
  <c r="M636" i="5" s="1"/>
  <c r="M637" i="5" s="1"/>
  <c r="M638" i="5" s="1"/>
  <c r="M639" i="5" s="1"/>
  <c r="M640" i="5" s="1"/>
  <c r="M641" i="5" s="1"/>
  <c r="M642" i="5" s="1"/>
  <c r="P632" i="5" s="1"/>
  <c r="P633" i="5" s="1"/>
  <c r="P634" i="5" s="1"/>
  <c r="P635" i="5" s="1"/>
  <c r="P636" i="5" s="1"/>
  <c r="P637" i="5" s="1"/>
  <c r="P638" i="5" s="1"/>
  <c r="P639" i="5" s="1"/>
  <c r="P640" i="5" s="1"/>
  <c r="P641" i="5" s="1"/>
  <c r="P642" i="5" s="1"/>
  <c r="S632" i="5" s="1"/>
  <c r="S633" i="5" s="1"/>
  <c r="S634" i="5" s="1"/>
  <c r="S635" i="5" s="1"/>
  <c r="S636" i="5" s="1"/>
  <c r="S637" i="5" s="1"/>
  <c r="S638" i="5" s="1"/>
  <c r="S639" i="5" s="1"/>
  <c r="S640" i="5" s="1"/>
  <c r="S641" i="5" s="1"/>
  <c r="S642" i="5" s="1"/>
  <c r="V632" i="5" s="1"/>
  <c r="V633" i="5" s="1"/>
  <c r="V634" i="5" s="1"/>
  <c r="V635" i="5" s="1"/>
  <c r="V636" i="5" s="1"/>
  <c r="V637" i="5" s="1"/>
  <c r="V638" i="5" s="1"/>
  <c r="V639" i="5" s="1"/>
  <c r="V640" i="5" s="1"/>
  <c r="V641" i="5" s="1"/>
  <c r="V642" i="5" s="1"/>
  <c r="T2" i="5"/>
  <c r="Q2" i="5"/>
  <c r="N2" i="5"/>
  <c r="K2" i="5"/>
  <c r="H2" i="5"/>
  <c r="E2" i="5"/>
  <c r="T631" i="4"/>
  <c r="Q631" i="4"/>
  <c r="N631" i="4"/>
  <c r="K631" i="4"/>
  <c r="H631" i="4"/>
  <c r="E631" i="4"/>
  <c r="B631" i="4"/>
  <c r="T619" i="4"/>
  <c r="Q619" i="4"/>
  <c r="N619" i="4"/>
  <c r="K619" i="4"/>
  <c r="H619" i="4"/>
  <c r="E619" i="4"/>
  <c r="B619" i="4"/>
  <c r="T607" i="4"/>
  <c r="Q607" i="4"/>
  <c r="N607" i="4"/>
  <c r="K607" i="4"/>
  <c r="H607" i="4"/>
  <c r="E607" i="4"/>
  <c r="B607" i="4"/>
  <c r="T595" i="4"/>
  <c r="Q595" i="4"/>
  <c r="N595" i="4"/>
  <c r="K595" i="4"/>
  <c r="H595" i="4"/>
  <c r="E595" i="4"/>
  <c r="B595" i="4"/>
  <c r="T583" i="4"/>
  <c r="Q583" i="4"/>
  <c r="N583" i="4"/>
  <c r="K583" i="4"/>
  <c r="H583" i="4"/>
  <c r="E583" i="4"/>
  <c r="B583" i="4"/>
  <c r="T571" i="4"/>
  <c r="Q571" i="4"/>
  <c r="N571" i="4"/>
  <c r="K571" i="4"/>
  <c r="H571" i="4"/>
  <c r="E571" i="4"/>
  <c r="B571" i="4"/>
  <c r="T559" i="4"/>
  <c r="Q559" i="4"/>
  <c r="N559" i="4"/>
  <c r="K559" i="4"/>
  <c r="H559" i="4"/>
  <c r="E559" i="4"/>
  <c r="B559" i="4"/>
  <c r="T547" i="4"/>
  <c r="Q547" i="4"/>
  <c r="N547" i="4"/>
  <c r="K547" i="4"/>
  <c r="H547" i="4"/>
  <c r="E547" i="4"/>
  <c r="B547" i="4"/>
  <c r="T535" i="4"/>
  <c r="Q535" i="4"/>
  <c r="N535" i="4"/>
  <c r="K535" i="4"/>
  <c r="H535" i="4"/>
  <c r="E535" i="4"/>
  <c r="B535" i="4"/>
  <c r="T523" i="4"/>
  <c r="Q523" i="4"/>
  <c r="N523" i="4"/>
  <c r="K523" i="4"/>
  <c r="H523" i="4"/>
  <c r="E523" i="4"/>
  <c r="B523" i="4"/>
  <c r="T511" i="4"/>
  <c r="Q511" i="4"/>
  <c r="N511" i="4"/>
  <c r="K511" i="4"/>
  <c r="H511" i="4"/>
  <c r="E511" i="4"/>
  <c r="B511" i="4"/>
  <c r="T499" i="4"/>
  <c r="Q499" i="4"/>
  <c r="N499" i="4"/>
  <c r="K499" i="4"/>
  <c r="H499" i="4"/>
  <c r="E499" i="4"/>
  <c r="B499" i="4"/>
  <c r="T487" i="4"/>
  <c r="Q487" i="4"/>
  <c r="N487" i="4"/>
  <c r="K487" i="4"/>
  <c r="H487" i="4"/>
  <c r="E487" i="4"/>
  <c r="B487" i="4"/>
  <c r="T475" i="4"/>
  <c r="Q475" i="4"/>
  <c r="N475" i="4"/>
  <c r="K475" i="4"/>
  <c r="H475" i="4"/>
  <c r="E475" i="4"/>
  <c r="B475" i="4"/>
  <c r="T463" i="4"/>
  <c r="Q463" i="4"/>
  <c r="N463" i="4"/>
  <c r="K463" i="4"/>
  <c r="H463" i="4"/>
  <c r="E463" i="4"/>
  <c r="B463" i="4"/>
  <c r="T451" i="4"/>
  <c r="Q451" i="4"/>
  <c r="N451" i="4"/>
  <c r="K451" i="4"/>
  <c r="H451" i="4"/>
  <c r="E451" i="4"/>
  <c r="B451" i="4"/>
  <c r="T439" i="4"/>
  <c r="Q439" i="4"/>
  <c r="N439" i="4"/>
  <c r="K439" i="4"/>
  <c r="H439" i="4"/>
  <c r="E439" i="4"/>
  <c r="B439" i="4"/>
  <c r="T427" i="4"/>
  <c r="Q427" i="4"/>
  <c r="N427" i="4"/>
  <c r="K427" i="4"/>
  <c r="H427" i="4"/>
  <c r="E427" i="4"/>
  <c r="B427" i="4"/>
  <c r="T415" i="4"/>
  <c r="Q415" i="4"/>
  <c r="N415" i="4"/>
  <c r="K415" i="4"/>
  <c r="H415" i="4"/>
  <c r="E415" i="4"/>
  <c r="B415" i="4"/>
  <c r="T403" i="4"/>
  <c r="Q403" i="4"/>
  <c r="N403" i="4"/>
  <c r="K403" i="4"/>
  <c r="H403" i="4"/>
  <c r="E403" i="4"/>
  <c r="B403" i="4"/>
  <c r="T391" i="4"/>
  <c r="Q391" i="4"/>
  <c r="N391" i="4"/>
  <c r="K391" i="4"/>
  <c r="H391" i="4"/>
  <c r="E391" i="4"/>
  <c r="B391" i="4"/>
  <c r="T379" i="4"/>
  <c r="Q379" i="4"/>
  <c r="N379" i="4"/>
  <c r="K379" i="4"/>
  <c r="H379" i="4"/>
  <c r="E379" i="4"/>
  <c r="B379" i="4"/>
  <c r="T367" i="4"/>
  <c r="Q367" i="4"/>
  <c r="N367" i="4"/>
  <c r="K367" i="4"/>
  <c r="H367" i="4"/>
  <c r="E367" i="4"/>
  <c r="B367" i="4"/>
  <c r="T355" i="4"/>
  <c r="Q355" i="4"/>
  <c r="N355" i="4"/>
  <c r="K355" i="4"/>
  <c r="H355" i="4"/>
  <c r="E355" i="4"/>
  <c r="B355" i="4"/>
  <c r="T343" i="4"/>
  <c r="Q343" i="4"/>
  <c r="N343" i="4"/>
  <c r="K343" i="4"/>
  <c r="H343" i="4"/>
  <c r="E343" i="4"/>
  <c r="B343" i="4"/>
  <c r="T331" i="4"/>
  <c r="Q331" i="4"/>
  <c r="N331" i="4"/>
  <c r="K331" i="4"/>
  <c r="H331" i="4"/>
  <c r="E331" i="4"/>
  <c r="B331" i="4"/>
  <c r="T319" i="4"/>
  <c r="Q319" i="4"/>
  <c r="N319" i="4"/>
  <c r="K319" i="4"/>
  <c r="H319" i="4"/>
  <c r="E319" i="4"/>
  <c r="B319" i="4"/>
  <c r="T307" i="4"/>
  <c r="Q307" i="4"/>
  <c r="N307" i="4"/>
  <c r="K307" i="4"/>
  <c r="H307" i="4"/>
  <c r="E307" i="4"/>
  <c r="B307" i="4"/>
  <c r="T295" i="4"/>
  <c r="Q295" i="4"/>
  <c r="N295" i="4"/>
  <c r="K295" i="4"/>
  <c r="H295" i="4"/>
  <c r="E295" i="4"/>
  <c r="B295" i="4"/>
  <c r="T283" i="4"/>
  <c r="Q283" i="4"/>
  <c r="N283" i="4"/>
  <c r="K283" i="4"/>
  <c r="H283" i="4"/>
  <c r="E283" i="4"/>
  <c r="B283" i="4"/>
  <c r="T271" i="4"/>
  <c r="Q271" i="4"/>
  <c r="N271" i="4"/>
  <c r="K271" i="4"/>
  <c r="H271" i="4"/>
  <c r="E271" i="4"/>
  <c r="B271" i="4"/>
  <c r="T259" i="4"/>
  <c r="Q259" i="4"/>
  <c r="N259" i="4"/>
  <c r="K259" i="4"/>
  <c r="H259" i="4"/>
  <c r="E259" i="4"/>
  <c r="B259" i="4"/>
  <c r="T247" i="4"/>
  <c r="Q247" i="4"/>
  <c r="N247" i="4"/>
  <c r="K247" i="4"/>
  <c r="H247" i="4"/>
  <c r="E247" i="4"/>
  <c r="B247" i="4"/>
  <c r="T235" i="4"/>
  <c r="Q235" i="4"/>
  <c r="N235" i="4"/>
  <c r="K235" i="4"/>
  <c r="H235" i="4"/>
  <c r="E235" i="4"/>
  <c r="B235" i="4"/>
  <c r="T223" i="4"/>
  <c r="Q223" i="4"/>
  <c r="N223" i="4"/>
  <c r="K223" i="4"/>
  <c r="H223" i="4"/>
  <c r="E223" i="4"/>
  <c r="B223" i="4"/>
  <c r="T211" i="4"/>
  <c r="Q211" i="4"/>
  <c r="N211" i="4"/>
  <c r="K211" i="4"/>
  <c r="H211" i="4"/>
  <c r="E211" i="4"/>
  <c r="B211" i="4"/>
  <c r="T199" i="4"/>
  <c r="Q199" i="4"/>
  <c r="N199" i="4"/>
  <c r="K199" i="4"/>
  <c r="H199" i="4"/>
  <c r="E199" i="4"/>
  <c r="B199" i="4"/>
  <c r="T187" i="4"/>
  <c r="Q187" i="4"/>
  <c r="N187" i="4"/>
  <c r="K187" i="4"/>
  <c r="H187" i="4"/>
  <c r="E187" i="4"/>
  <c r="B187" i="4"/>
  <c r="T175" i="4"/>
  <c r="Q175" i="4"/>
  <c r="N175" i="4"/>
  <c r="K175" i="4"/>
  <c r="H175" i="4"/>
  <c r="E175" i="4"/>
  <c r="B175" i="4"/>
  <c r="T163" i="4"/>
  <c r="Q163" i="4"/>
  <c r="N163" i="4"/>
  <c r="K163" i="4"/>
  <c r="H163" i="4"/>
  <c r="E163" i="4"/>
  <c r="B163" i="4"/>
  <c r="T151" i="4"/>
  <c r="Q151" i="4"/>
  <c r="N151" i="4"/>
  <c r="K151" i="4"/>
  <c r="H151" i="4"/>
  <c r="E151" i="4"/>
  <c r="B151" i="4"/>
  <c r="T139" i="4"/>
  <c r="Q139" i="4"/>
  <c r="N139" i="4"/>
  <c r="K139" i="4"/>
  <c r="H139" i="4"/>
  <c r="E139" i="4"/>
  <c r="B139" i="4"/>
  <c r="T127" i="4"/>
  <c r="Q127" i="4"/>
  <c r="N127" i="4"/>
  <c r="K127" i="4"/>
  <c r="H127" i="4"/>
  <c r="E127" i="4"/>
  <c r="B127" i="4"/>
  <c r="T115" i="4"/>
  <c r="Q115" i="4"/>
  <c r="N115" i="4"/>
  <c r="K115" i="4"/>
  <c r="H115" i="4"/>
  <c r="E115" i="4"/>
  <c r="B115" i="4"/>
  <c r="T103" i="4"/>
  <c r="Q103" i="4"/>
  <c r="N103" i="4"/>
  <c r="K103" i="4"/>
  <c r="H103" i="4"/>
  <c r="E103" i="4"/>
  <c r="B103" i="4"/>
  <c r="T91" i="4"/>
  <c r="Q91" i="4"/>
  <c r="N91" i="4"/>
  <c r="K91" i="4"/>
  <c r="H91" i="4"/>
  <c r="E91" i="4"/>
  <c r="B91" i="4"/>
  <c r="T79" i="4"/>
  <c r="Q79" i="4"/>
  <c r="N79" i="4"/>
  <c r="K79" i="4"/>
  <c r="H79" i="4"/>
  <c r="E79" i="4"/>
  <c r="B79" i="4"/>
  <c r="T67" i="4"/>
  <c r="Q67" i="4"/>
  <c r="N67" i="4"/>
  <c r="K67" i="4"/>
  <c r="H67" i="4"/>
  <c r="E67" i="4"/>
  <c r="B67" i="4"/>
  <c r="T57" i="4"/>
  <c r="Q57" i="4"/>
  <c r="N57" i="4"/>
  <c r="K57" i="4"/>
  <c r="H57" i="4"/>
  <c r="E57" i="4"/>
  <c r="B57" i="4"/>
  <c r="T45" i="4"/>
  <c r="Q45" i="4"/>
  <c r="N45" i="4"/>
  <c r="K45" i="4"/>
  <c r="H45" i="4"/>
  <c r="E45" i="4"/>
  <c r="B45" i="4"/>
  <c r="V39" i="4"/>
  <c r="V40" i="4" s="1"/>
  <c r="V41" i="4" s="1"/>
  <c r="V42" i="4" s="1"/>
  <c r="V43" i="4" s="1"/>
  <c r="V44" i="4" s="1"/>
  <c r="D46" i="4" s="1"/>
  <c r="D47" i="4" s="1"/>
  <c r="D48" i="4" s="1"/>
  <c r="D49" i="4" s="1"/>
  <c r="D50" i="4" s="1"/>
  <c r="D51" i="4" s="1"/>
  <c r="D52" i="4" s="1"/>
  <c r="D53" i="4" s="1"/>
  <c r="D54" i="4" s="1"/>
  <c r="D55" i="4" s="1"/>
  <c r="D56" i="4" s="1"/>
  <c r="G46" i="4" s="1"/>
  <c r="G47" i="4" s="1"/>
  <c r="G48" i="4" s="1"/>
  <c r="G49" i="4" s="1"/>
  <c r="G50" i="4" s="1"/>
  <c r="G51" i="4" s="1"/>
  <c r="G52" i="4" s="1"/>
  <c r="G53" i="4" s="1"/>
  <c r="G54" i="4" s="1"/>
  <c r="G55" i="4" s="1"/>
  <c r="G56" i="4" s="1"/>
  <c r="J46" i="4" s="1"/>
  <c r="J47" i="4" s="1"/>
  <c r="J48" i="4" s="1"/>
  <c r="J49" i="4" s="1"/>
  <c r="J50" i="4" s="1"/>
  <c r="J51" i="4" s="1"/>
  <c r="J52" i="4" s="1"/>
  <c r="J53" i="4" s="1"/>
  <c r="J54" i="4" s="1"/>
  <c r="J55" i="4" s="1"/>
  <c r="J56" i="4" s="1"/>
  <c r="M46" i="4" s="1"/>
  <c r="M47" i="4" s="1"/>
  <c r="M48" i="4" s="1"/>
  <c r="M49" i="4" s="1"/>
  <c r="M50" i="4" s="1"/>
  <c r="M51" i="4" s="1"/>
  <c r="M52" i="4" s="1"/>
  <c r="M53" i="4" s="1"/>
  <c r="M54" i="4" s="1"/>
  <c r="M55" i="4" s="1"/>
  <c r="M56" i="4" s="1"/>
  <c r="P46" i="4" s="1"/>
  <c r="P47" i="4" s="1"/>
  <c r="P48" i="4" s="1"/>
  <c r="P49" i="4" s="1"/>
  <c r="P50" i="4" s="1"/>
  <c r="P51" i="4" s="1"/>
  <c r="P52" i="4" s="1"/>
  <c r="P53" i="4" s="1"/>
  <c r="P54" i="4" s="1"/>
  <c r="P55" i="4" s="1"/>
  <c r="P56" i="4" s="1"/>
  <c r="S46" i="4" s="1"/>
  <c r="S47" i="4" s="1"/>
  <c r="S48" i="4" s="1"/>
  <c r="S49" i="4" s="1"/>
  <c r="S50" i="4" s="1"/>
  <c r="S51" i="4" s="1"/>
  <c r="S52" i="4" s="1"/>
  <c r="S53" i="4" s="1"/>
  <c r="S54" i="4" s="1"/>
  <c r="S55" i="4" s="1"/>
  <c r="S56" i="4" s="1"/>
  <c r="V46" i="4" s="1"/>
  <c r="V47" i="4" s="1"/>
  <c r="V48" i="4" s="1"/>
  <c r="V49" i="4" s="1"/>
  <c r="V50" i="4" s="1"/>
  <c r="V51" i="4" s="1"/>
  <c r="V52" i="4" s="1"/>
  <c r="V53" i="4" s="1"/>
  <c r="V54" i="4" s="1"/>
  <c r="V55" i="4" s="1"/>
  <c r="V56" i="4" s="1"/>
  <c r="D58" i="4" s="1"/>
  <c r="D59" i="4" s="1"/>
  <c r="D60" i="4" s="1"/>
  <c r="D61" i="4" s="1"/>
  <c r="D62" i="4" s="1"/>
  <c r="D63" i="4" s="1"/>
  <c r="D64" i="4" s="1"/>
  <c r="D65" i="4" s="1"/>
  <c r="D66" i="4" s="1"/>
  <c r="G58" i="4" s="1"/>
  <c r="G59" i="4" s="1"/>
  <c r="G60" i="4" s="1"/>
  <c r="G61" i="4" s="1"/>
  <c r="G62" i="4" s="1"/>
  <c r="G63" i="4" s="1"/>
  <c r="G64" i="4" s="1"/>
  <c r="G65" i="4" s="1"/>
  <c r="G66" i="4" s="1"/>
  <c r="J58" i="4" s="1"/>
  <c r="J59" i="4" s="1"/>
  <c r="J60" i="4" s="1"/>
  <c r="J61" i="4" s="1"/>
  <c r="J62" i="4" s="1"/>
  <c r="J63" i="4" s="1"/>
  <c r="J64" i="4" s="1"/>
  <c r="J65" i="4" s="1"/>
  <c r="J66" i="4" s="1"/>
  <c r="M58" i="4" s="1"/>
  <c r="M59" i="4" s="1"/>
  <c r="M60" i="4" s="1"/>
  <c r="M61" i="4" s="1"/>
  <c r="M62" i="4" s="1"/>
  <c r="M63" i="4" s="1"/>
  <c r="M64" i="4" s="1"/>
  <c r="M65" i="4" s="1"/>
  <c r="M66" i="4" s="1"/>
  <c r="P58" i="4" s="1"/>
  <c r="P59" i="4" s="1"/>
  <c r="P60" i="4" s="1"/>
  <c r="P61" i="4" s="1"/>
  <c r="P62" i="4" s="1"/>
  <c r="P63" i="4" s="1"/>
  <c r="P64" i="4" s="1"/>
  <c r="P65" i="4" s="1"/>
  <c r="P66" i="4" s="1"/>
  <c r="S58" i="4" s="1"/>
  <c r="S59" i="4" s="1"/>
  <c r="S60" i="4" s="1"/>
  <c r="S61" i="4" s="1"/>
  <c r="S62" i="4" s="1"/>
  <c r="S63" i="4" s="1"/>
  <c r="S64" i="4" s="1"/>
  <c r="S65" i="4" s="1"/>
  <c r="S66" i="4" s="1"/>
  <c r="V58" i="4" s="1"/>
  <c r="V59" i="4" s="1"/>
  <c r="V60" i="4" s="1"/>
  <c r="V61" i="4" s="1"/>
  <c r="V62" i="4" s="1"/>
  <c r="V63" i="4" s="1"/>
  <c r="V64" i="4" s="1"/>
  <c r="V65" i="4" s="1"/>
  <c r="V66" i="4" s="1"/>
  <c r="D68" i="4" s="1"/>
  <c r="D69" i="4" s="1"/>
  <c r="D70" i="4" s="1"/>
  <c r="D71" i="4" s="1"/>
  <c r="D72" i="4" s="1"/>
  <c r="D73" i="4" s="1"/>
  <c r="D74" i="4" s="1"/>
  <c r="D75" i="4" s="1"/>
  <c r="D76" i="4" s="1"/>
  <c r="D77" i="4" s="1"/>
  <c r="D78" i="4" s="1"/>
  <c r="G68" i="4" s="1"/>
  <c r="G69" i="4" s="1"/>
  <c r="G70" i="4" s="1"/>
  <c r="G71" i="4" s="1"/>
  <c r="G72" i="4" s="1"/>
  <c r="G73" i="4" s="1"/>
  <c r="G74" i="4" s="1"/>
  <c r="G75" i="4" s="1"/>
  <c r="G76" i="4" s="1"/>
  <c r="G77" i="4" s="1"/>
  <c r="G78" i="4" s="1"/>
  <c r="J68" i="4" s="1"/>
  <c r="J69" i="4" s="1"/>
  <c r="J70" i="4" s="1"/>
  <c r="J71" i="4" s="1"/>
  <c r="J72" i="4" s="1"/>
  <c r="J73" i="4" s="1"/>
  <c r="J74" i="4" s="1"/>
  <c r="J75" i="4" s="1"/>
  <c r="J76" i="4" s="1"/>
  <c r="J77" i="4" s="1"/>
  <c r="J78" i="4" s="1"/>
  <c r="M68" i="4" s="1"/>
  <c r="M69" i="4" s="1"/>
  <c r="M70" i="4" s="1"/>
  <c r="M71" i="4" s="1"/>
  <c r="M72" i="4" s="1"/>
  <c r="M73" i="4" s="1"/>
  <c r="M74" i="4" s="1"/>
  <c r="M75" i="4" s="1"/>
  <c r="M76" i="4" s="1"/>
  <c r="M77" i="4" s="1"/>
  <c r="M78" i="4" s="1"/>
  <c r="P68" i="4" s="1"/>
  <c r="P69" i="4" s="1"/>
  <c r="P70" i="4" s="1"/>
  <c r="P71" i="4" s="1"/>
  <c r="P72" i="4" s="1"/>
  <c r="P73" i="4" s="1"/>
  <c r="P74" i="4" s="1"/>
  <c r="P75" i="4" s="1"/>
  <c r="P76" i="4" s="1"/>
  <c r="P77" i="4" s="1"/>
  <c r="P78" i="4" s="1"/>
  <c r="S68" i="4" s="1"/>
  <c r="S69" i="4" s="1"/>
  <c r="S70" i="4" s="1"/>
  <c r="S71" i="4" s="1"/>
  <c r="S72" i="4" s="1"/>
  <c r="S73" i="4" s="1"/>
  <c r="S74" i="4" s="1"/>
  <c r="S75" i="4" s="1"/>
  <c r="S76" i="4" s="1"/>
  <c r="S77" i="4" s="1"/>
  <c r="S78" i="4" s="1"/>
  <c r="V68" i="4" s="1"/>
  <c r="V69" i="4" s="1"/>
  <c r="V70" i="4" s="1"/>
  <c r="V71" i="4" s="1"/>
  <c r="V72" i="4" s="1"/>
  <c r="V73" i="4" s="1"/>
  <c r="V74" i="4" s="1"/>
  <c r="V75" i="4" s="1"/>
  <c r="V76" i="4" s="1"/>
  <c r="V77" i="4" s="1"/>
  <c r="V78" i="4" s="1"/>
  <c r="D80" i="4" s="1"/>
  <c r="D81" i="4" s="1"/>
  <c r="D82" i="4" s="1"/>
  <c r="D83" i="4" s="1"/>
  <c r="D84" i="4" s="1"/>
  <c r="D85" i="4" s="1"/>
  <c r="D86" i="4" s="1"/>
  <c r="D87" i="4" s="1"/>
  <c r="D88" i="4" s="1"/>
  <c r="D89" i="4" s="1"/>
  <c r="D90" i="4" s="1"/>
  <c r="G80" i="4" s="1"/>
  <c r="G81" i="4" s="1"/>
  <c r="G82" i="4" s="1"/>
  <c r="G83" i="4" s="1"/>
  <c r="G84" i="4" s="1"/>
  <c r="G85" i="4" s="1"/>
  <c r="G86" i="4" s="1"/>
  <c r="G87" i="4" s="1"/>
  <c r="G88" i="4" s="1"/>
  <c r="G89" i="4" s="1"/>
  <c r="G90" i="4" s="1"/>
  <c r="J80" i="4" s="1"/>
  <c r="J81" i="4" s="1"/>
  <c r="J82" i="4" s="1"/>
  <c r="J83" i="4" s="1"/>
  <c r="J84" i="4" s="1"/>
  <c r="J85" i="4" s="1"/>
  <c r="J86" i="4" s="1"/>
  <c r="J87" i="4" s="1"/>
  <c r="J88" i="4" s="1"/>
  <c r="J89" i="4" s="1"/>
  <c r="J90" i="4" s="1"/>
  <c r="M80" i="4" s="1"/>
  <c r="M81" i="4" s="1"/>
  <c r="M82" i="4" s="1"/>
  <c r="M83" i="4" s="1"/>
  <c r="M84" i="4" s="1"/>
  <c r="M85" i="4" s="1"/>
  <c r="M86" i="4" s="1"/>
  <c r="M87" i="4" s="1"/>
  <c r="M88" i="4" s="1"/>
  <c r="M89" i="4" s="1"/>
  <c r="M90" i="4" s="1"/>
  <c r="P80" i="4" s="1"/>
  <c r="P81" i="4" s="1"/>
  <c r="P82" i="4" s="1"/>
  <c r="P83" i="4" s="1"/>
  <c r="P84" i="4" s="1"/>
  <c r="P85" i="4" s="1"/>
  <c r="P86" i="4" s="1"/>
  <c r="P87" i="4" s="1"/>
  <c r="P88" i="4" s="1"/>
  <c r="P89" i="4" s="1"/>
  <c r="P90" i="4" s="1"/>
  <c r="S80" i="4" s="1"/>
  <c r="S81" i="4" s="1"/>
  <c r="S82" i="4" s="1"/>
  <c r="S83" i="4" s="1"/>
  <c r="S84" i="4" s="1"/>
  <c r="S85" i="4" s="1"/>
  <c r="S86" i="4" s="1"/>
  <c r="S87" i="4" s="1"/>
  <c r="S88" i="4" s="1"/>
  <c r="S89" i="4" s="1"/>
  <c r="S90" i="4" s="1"/>
  <c r="V80" i="4" s="1"/>
  <c r="V81" i="4" s="1"/>
  <c r="V82" i="4" s="1"/>
  <c r="V83" i="4" s="1"/>
  <c r="V84" i="4" s="1"/>
  <c r="V85" i="4" s="1"/>
  <c r="V86" i="4" s="1"/>
  <c r="V87" i="4" s="1"/>
  <c r="V88" i="4" s="1"/>
  <c r="V89" i="4" s="1"/>
  <c r="V90" i="4" s="1"/>
  <c r="D92" i="4" s="1"/>
  <c r="D93" i="4" s="1"/>
  <c r="D94" i="4" s="1"/>
  <c r="D95" i="4" s="1"/>
  <c r="D96" i="4" s="1"/>
  <c r="D97" i="4" s="1"/>
  <c r="D98" i="4" s="1"/>
  <c r="D99" i="4" s="1"/>
  <c r="D100" i="4" s="1"/>
  <c r="D101" i="4" s="1"/>
  <c r="D102" i="4" s="1"/>
  <c r="G92" i="4" s="1"/>
  <c r="G93" i="4" s="1"/>
  <c r="G94" i="4" s="1"/>
  <c r="G95" i="4" s="1"/>
  <c r="G96" i="4" s="1"/>
  <c r="G97" i="4" s="1"/>
  <c r="G98" i="4" s="1"/>
  <c r="G99" i="4" s="1"/>
  <c r="G100" i="4" s="1"/>
  <c r="G101" i="4" s="1"/>
  <c r="G102" i="4" s="1"/>
  <c r="J92" i="4" s="1"/>
  <c r="J93" i="4" s="1"/>
  <c r="J94" i="4" s="1"/>
  <c r="J95" i="4" s="1"/>
  <c r="J96" i="4" s="1"/>
  <c r="J97" i="4" s="1"/>
  <c r="J98" i="4" s="1"/>
  <c r="J99" i="4" s="1"/>
  <c r="J100" i="4" s="1"/>
  <c r="J101" i="4" s="1"/>
  <c r="J102" i="4" s="1"/>
  <c r="M92" i="4" s="1"/>
  <c r="M93" i="4" s="1"/>
  <c r="M94" i="4" s="1"/>
  <c r="M95" i="4" s="1"/>
  <c r="M96" i="4" s="1"/>
  <c r="M97" i="4" s="1"/>
  <c r="M98" i="4" s="1"/>
  <c r="M99" i="4" s="1"/>
  <c r="M100" i="4" s="1"/>
  <c r="M101" i="4" s="1"/>
  <c r="M102" i="4" s="1"/>
  <c r="P92" i="4" s="1"/>
  <c r="P93" i="4" s="1"/>
  <c r="P94" i="4" s="1"/>
  <c r="P95" i="4" s="1"/>
  <c r="P96" i="4" s="1"/>
  <c r="P97" i="4" s="1"/>
  <c r="P98" i="4" s="1"/>
  <c r="P99" i="4" s="1"/>
  <c r="P100" i="4" s="1"/>
  <c r="P101" i="4" s="1"/>
  <c r="P102" i="4" s="1"/>
  <c r="S92" i="4" s="1"/>
  <c r="S93" i="4" s="1"/>
  <c r="S94" i="4" s="1"/>
  <c r="S95" i="4" s="1"/>
  <c r="S96" i="4" s="1"/>
  <c r="S97" i="4" s="1"/>
  <c r="S98" i="4" s="1"/>
  <c r="S99" i="4" s="1"/>
  <c r="S100" i="4" s="1"/>
  <c r="S101" i="4" s="1"/>
  <c r="S102" i="4" s="1"/>
  <c r="V92" i="4" s="1"/>
  <c r="V93" i="4" s="1"/>
  <c r="V94" i="4" s="1"/>
  <c r="V95" i="4" s="1"/>
  <c r="V96" i="4" s="1"/>
  <c r="V97" i="4" s="1"/>
  <c r="V98" i="4" s="1"/>
  <c r="V99" i="4" s="1"/>
  <c r="V100" i="4" s="1"/>
  <c r="V101" i="4" s="1"/>
  <c r="V102" i="4" s="1"/>
  <c r="D104" i="4" s="1"/>
  <c r="D105" i="4" s="1"/>
  <c r="D106" i="4" s="1"/>
  <c r="D107" i="4" s="1"/>
  <c r="D108" i="4" s="1"/>
  <c r="D109" i="4" s="1"/>
  <c r="D110" i="4" s="1"/>
  <c r="D111" i="4" s="1"/>
  <c r="D112" i="4" s="1"/>
  <c r="D113" i="4" s="1"/>
  <c r="D114" i="4" s="1"/>
  <c r="G104" i="4" s="1"/>
  <c r="G105" i="4" s="1"/>
  <c r="G106" i="4" s="1"/>
  <c r="G107" i="4" s="1"/>
  <c r="G108" i="4" s="1"/>
  <c r="G109" i="4" s="1"/>
  <c r="G110" i="4" s="1"/>
  <c r="G111" i="4" s="1"/>
  <c r="G112" i="4" s="1"/>
  <c r="G113" i="4" s="1"/>
  <c r="G114" i="4" s="1"/>
  <c r="J104" i="4" s="1"/>
  <c r="J105" i="4" s="1"/>
  <c r="J106" i="4" s="1"/>
  <c r="J107" i="4" s="1"/>
  <c r="J108" i="4" s="1"/>
  <c r="J109" i="4" s="1"/>
  <c r="J110" i="4" s="1"/>
  <c r="J111" i="4" s="1"/>
  <c r="J112" i="4" s="1"/>
  <c r="J113" i="4" s="1"/>
  <c r="J114" i="4" s="1"/>
  <c r="M104" i="4" s="1"/>
  <c r="M105" i="4" s="1"/>
  <c r="M106" i="4" s="1"/>
  <c r="M107" i="4" s="1"/>
  <c r="M108" i="4" s="1"/>
  <c r="M109" i="4" s="1"/>
  <c r="M110" i="4" s="1"/>
  <c r="M111" i="4" s="1"/>
  <c r="M112" i="4" s="1"/>
  <c r="M113" i="4" s="1"/>
  <c r="M114" i="4" s="1"/>
  <c r="P104" i="4" s="1"/>
  <c r="P105" i="4" s="1"/>
  <c r="P106" i="4" s="1"/>
  <c r="P107" i="4" s="1"/>
  <c r="P108" i="4" s="1"/>
  <c r="P109" i="4" s="1"/>
  <c r="P110" i="4" s="1"/>
  <c r="P111" i="4" s="1"/>
  <c r="P112" i="4" s="1"/>
  <c r="P113" i="4" s="1"/>
  <c r="P114" i="4" s="1"/>
  <c r="S104" i="4" s="1"/>
  <c r="S105" i="4" s="1"/>
  <c r="S106" i="4" s="1"/>
  <c r="S107" i="4" s="1"/>
  <c r="S108" i="4" s="1"/>
  <c r="S109" i="4" s="1"/>
  <c r="S110" i="4" s="1"/>
  <c r="S111" i="4" s="1"/>
  <c r="S112" i="4" s="1"/>
  <c r="S113" i="4" s="1"/>
  <c r="S114" i="4" s="1"/>
  <c r="V104" i="4" s="1"/>
  <c r="V105" i="4" s="1"/>
  <c r="V106" i="4" s="1"/>
  <c r="V107" i="4" s="1"/>
  <c r="V108" i="4" s="1"/>
  <c r="V109" i="4" s="1"/>
  <c r="V110" i="4" s="1"/>
  <c r="V111" i="4" s="1"/>
  <c r="V112" i="4" s="1"/>
  <c r="V113" i="4" s="1"/>
  <c r="V114" i="4" s="1"/>
  <c r="D116" i="4" s="1"/>
  <c r="D117" i="4" s="1"/>
  <c r="D118" i="4" s="1"/>
  <c r="D119" i="4" s="1"/>
  <c r="D120" i="4" s="1"/>
  <c r="D121" i="4" s="1"/>
  <c r="D122" i="4" s="1"/>
  <c r="D123" i="4" s="1"/>
  <c r="D124" i="4" s="1"/>
  <c r="D125" i="4" s="1"/>
  <c r="D126" i="4" s="1"/>
  <c r="G116" i="4" s="1"/>
  <c r="G117" i="4" s="1"/>
  <c r="G118" i="4" s="1"/>
  <c r="G119" i="4" s="1"/>
  <c r="G120" i="4" s="1"/>
  <c r="G121" i="4" s="1"/>
  <c r="G122" i="4" s="1"/>
  <c r="G123" i="4" s="1"/>
  <c r="G124" i="4" s="1"/>
  <c r="G125" i="4" s="1"/>
  <c r="G126" i="4" s="1"/>
  <c r="J116" i="4" s="1"/>
  <c r="J117" i="4" s="1"/>
  <c r="J118" i="4" s="1"/>
  <c r="J119" i="4" s="1"/>
  <c r="J120" i="4" s="1"/>
  <c r="J121" i="4" s="1"/>
  <c r="J122" i="4" s="1"/>
  <c r="J123" i="4" s="1"/>
  <c r="J124" i="4" s="1"/>
  <c r="J125" i="4" s="1"/>
  <c r="J126" i="4" s="1"/>
  <c r="M116" i="4" s="1"/>
  <c r="M117" i="4" s="1"/>
  <c r="M118" i="4" s="1"/>
  <c r="M119" i="4" s="1"/>
  <c r="M120" i="4" s="1"/>
  <c r="M121" i="4" s="1"/>
  <c r="M122" i="4" s="1"/>
  <c r="M123" i="4" s="1"/>
  <c r="M124" i="4" s="1"/>
  <c r="M125" i="4" s="1"/>
  <c r="M126" i="4" s="1"/>
  <c r="P116" i="4" s="1"/>
  <c r="P117" i="4" s="1"/>
  <c r="P118" i="4" s="1"/>
  <c r="P119" i="4" s="1"/>
  <c r="P120" i="4" s="1"/>
  <c r="P121" i="4" s="1"/>
  <c r="P122" i="4" s="1"/>
  <c r="P123" i="4" s="1"/>
  <c r="P124" i="4" s="1"/>
  <c r="P125" i="4" s="1"/>
  <c r="P126" i="4" s="1"/>
  <c r="S116" i="4" s="1"/>
  <c r="S117" i="4" s="1"/>
  <c r="S118" i="4" s="1"/>
  <c r="S119" i="4" s="1"/>
  <c r="S120" i="4" s="1"/>
  <c r="S121" i="4" s="1"/>
  <c r="S122" i="4" s="1"/>
  <c r="S123" i="4" s="1"/>
  <c r="S124" i="4" s="1"/>
  <c r="S125" i="4" s="1"/>
  <c r="S126" i="4" s="1"/>
  <c r="V116" i="4" s="1"/>
  <c r="V117" i="4" s="1"/>
  <c r="V118" i="4" s="1"/>
  <c r="V119" i="4" s="1"/>
  <c r="V120" i="4" s="1"/>
  <c r="V121" i="4" s="1"/>
  <c r="V122" i="4" s="1"/>
  <c r="V123" i="4" s="1"/>
  <c r="V124" i="4" s="1"/>
  <c r="V125" i="4" s="1"/>
  <c r="V126" i="4" s="1"/>
  <c r="D128" i="4" s="1"/>
  <c r="D129" i="4" s="1"/>
  <c r="D130" i="4" s="1"/>
  <c r="D131" i="4" s="1"/>
  <c r="D132" i="4" s="1"/>
  <c r="D133" i="4" s="1"/>
  <c r="D134" i="4" s="1"/>
  <c r="D135" i="4" s="1"/>
  <c r="D136" i="4" s="1"/>
  <c r="D137" i="4" s="1"/>
  <c r="D138" i="4" s="1"/>
  <c r="G128" i="4" s="1"/>
  <c r="G129" i="4" s="1"/>
  <c r="G130" i="4" s="1"/>
  <c r="G131" i="4" s="1"/>
  <c r="G132" i="4" s="1"/>
  <c r="G133" i="4" s="1"/>
  <c r="G134" i="4" s="1"/>
  <c r="G135" i="4" s="1"/>
  <c r="G136" i="4" s="1"/>
  <c r="G137" i="4" s="1"/>
  <c r="G138" i="4" s="1"/>
  <c r="J128" i="4" s="1"/>
  <c r="J129" i="4" s="1"/>
  <c r="J130" i="4" s="1"/>
  <c r="J131" i="4" s="1"/>
  <c r="J132" i="4" s="1"/>
  <c r="J133" i="4" s="1"/>
  <c r="J134" i="4" s="1"/>
  <c r="J135" i="4" s="1"/>
  <c r="J136" i="4" s="1"/>
  <c r="J137" i="4" s="1"/>
  <c r="J138" i="4" s="1"/>
  <c r="M128" i="4" s="1"/>
  <c r="M129" i="4" s="1"/>
  <c r="M130" i="4" s="1"/>
  <c r="M131" i="4" s="1"/>
  <c r="M132" i="4" s="1"/>
  <c r="M133" i="4" s="1"/>
  <c r="M134" i="4" s="1"/>
  <c r="M135" i="4" s="1"/>
  <c r="M136" i="4" s="1"/>
  <c r="M137" i="4" s="1"/>
  <c r="M138" i="4" s="1"/>
  <c r="P128" i="4" s="1"/>
  <c r="P129" i="4" s="1"/>
  <c r="P130" i="4" s="1"/>
  <c r="P131" i="4" s="1"/>
  <c r="P132" i="4" s="1"/>
  <c r="P133" i="4" s="1"/>
  <c r="P134" i="4" s="1"/>
  <c r="P135" i="4" s="1"/>
  <c r="P136" i="4" s="1"/>
  <c r="P137" i="4" s="1"/>
  <c r="P138" i="4" s="1"/>
  <c r="S128" i="4" s="1"/>
  <c r="S129" i="4" s="1"/>
  <c r="S130" i="4" s="1"/>
  <c r="S131" i="4" s="1"/>
  <c r="S132" i="4" s="1"/>
  <c r="S133" i="4" s="1"/>
  <c r="S134" i="4" s="1"/>
  <c r="S135" i="4" s="1"/>
  <c r="S136" i="4" s="1"/>
  <c r="S137" i="4" s="1"/>
  <c r="S138" i="4" s="1"/>
  <c r="V128" i="4" s="1"/>
  <c r="V129" i="4" s="1"/>
  <c r="V130" i="4" s="1"/>
  <c r="V131" i="4" s="1"/>
  <c r="V132" i="4" s="1"/>
  <c r="V133" i="4" s="1"/>
  <c r="V134" i="4" s="1"/>
  <c r="V135" i="4" s="1"/>
  <c r="V136" i="4" s="1"/>
  <c r="V137" i="4" s="1"/>
  <c r="V138" i="4" s="1"/>
  <c r="D140" i="4" s="1"/>
  <c r="D141" i="4" s="1"/>
  <c r="D142" i="4" s="1"/>
  <c r="D143" i="4" s="1"/>
  <c r="D144" i="4" s="1"/>
  <c r="D145" i="4" s="1"/>
  <c r="D146" i="4" s="1"/>
  <c r="D147" i="4" s="1"/>
  <c r="D148" i="4" s="1"/>
  <c r="D149" i="4" s="1"/>
  <c r="D150" i="4" s="1"/>
  <c r="G140" i="4" s="1"/>
  <c r="G141" i="4" s="1"/>
  <c r="G142" i="4" s="1"/>
  <c r="G143" i="4" s="1"/>
  <c r="G144" i="4" s="1"/>
  <c r="G145" i="4" s="1"/>
  <c r="G146" i="4" s="1"/>
  <c r="G147" i="4" s="1"/>
  <c r="G148" i="4" s="1"/>
  <c r="G149" i="4" s="1"/>
  <c r="G150" i="4" s="1"/>
  <c r="J140" i="4" s="1"/>
  <c r="J141" i="4" s="1"/>
  <c r="J142" i="4" s="1"/>
  <c r="J143" i="4" s="1"/>
  <c r="J144" i="4" s="1"/>
  <c r="J145" i="4" s="1"/>
  <c r="J146" i="4" s="1"/>
  <c r="J147" i="4" s="1"/>
  <c r="J148" i="4" s="1"/>
  <c r="J149" i="4" s="1"/>
  <c r="J150" i="4" s="1"/>
  <c r="M140" i="4" s="1"/>
  <c r="M141" i="4" s="1"/>
  <c r="M142" i="4" s="1"/>
  <c r="M143" i="4" s="1"/>
  <c r="M144" i="4" s="1"/>
  <c r="M145" i="4" s="1"/>
  <c r="M146" i="4" s="1"/>
  <c r="M147" i="4" s="1"/>
  <c r="M148" i="4" s="1"/>
  <c r="M149" i="4" s="1"/>
  <c r="M150" i="4" s="1"/>
  <c r="P140" i="4" s="1"/>
  <c r="P141" i="4" s="1"/>
  <c r="P142" i="4" s="1"/>
  <c r="P143" i="4" s="1"/>
  <c r="P144" i="4" s="1"/>
  <c r="P145" i="4" s="1"/>
  <c r="P146" i="4" s="1"/>
  <c r="P147" i="4" s="1"/>
  <c r="P148" i="4" s="1"/>
  <c r="P149" i="4" s="1"/>
  <c r="P150" i="4" s="1"/>
  <c r="S140" i="4" s="1"/>
  <c r="S141" i="4" s="1"/>
  <c r="S142" i="4" s="1"/>
  <c r="S143" i="4" s="1"/>
  <c r="S144" i="4" s="1"/>
  <c r="S145" i="4" s="1"/>
  <c r="S146" i="4" s="1"/>
  <c r="S147" i="4" s="1"/>
  <c r="S148" i="4" s="1"/>
  <c r="S149" i="4" s="1"/>
  <c r="S150" i="4" s="1"/>
  <c r="V140" i="4" s="1"/>
  <c r="V141" i="4" s="1"/>
  <c r="V142" i="4" s="1"/>
  <c r="V143" i="4" s="1"/>
  <c r="V144" i="4" s="1"/>
  <c r="V145" i="4" s="1"/>
  <c r="V146" i="4" s="1"/>
  <c r="V147" i="4" s="1"/>
  <c r="V148" i="4" s="1"/>
  <c r="V149" i="4" s="1"/>
  <c r="V150" i="4" s="1"/>
  <c r="D152" i="4" s="1"/>
  <c r="D153" i="4" s="1"/>
  <c r="D154" i="4" s="1"/>
  <c r="D155" i="4" s="1"/>
  <c r="D156" i="4" s="1"/>
  <c r="D157" i="4" s="1"/>
  <c r="D158" i="4" s="1"/>
  <c r="D159" i="4" s="1"/>
  <c r="D160" i="4" s="1"/>
  <c r="D161" i="4" s="1"/>
  <c r="D162" i="4" s="1"/>
  <c r="G152" i="4" s="1"/>
  <c r="G153" i="4" s="1"/>
  <c r="G154" i="4" s="1"/>
  <c r="G155" i="4" s="1"/>
  <c r="G156" i="4" s="1"/>
  <c r="G157" i="4" s="1"/>
  <c r="G158" i="4" s="1"/>
  <c r="G159" i="4" s="1"/>
  <c r="G160" i="4" s="1"/>
  <c r="G161" i="4" s="1"/>
  <c r="G162" i="4" s="1"/>
  <c r="J152" i="4" s="1"/>
  <c r="J153" i="4" s="1"/>
  <c r="J154" i="4" s="1"/>
  <c r="J155" i="4" s="1"/>
  <c r="J156" i="4" s="1"/>
  <c r="J157" i="4" s="1"/>
  <c r="J158" i="4" s="1"/>
  <c r="J159" i="4" s="1"/>
  <c r="J160" i="4" s="1"/>
  <c r="J161" i="4" s="1"/>
  <c r="J162" i="4" s="1"/>
  <c r="M152" i="4" s="1"/>
  <c r="M153" i="4" s="1"/>
  <c r="M154" i="4" s="1"/>
  <c r="M155" i="4" s="1"/>
  <c r="M156" i="4" s="1"/>
  <c r="M157" i="4" s="1"/>
  <c r="M158" i="4" s="1"/>
  <c r="M159" i="4" s="1"/>
  <c r="M160" i="4" s="1"/>
  <c r="M161" i="4" s="1"/>
  <c r="M162" i="4" s="1"/>
  <c r="P152" i="4" s="1"/>
  <c r="P153" i="4" s="1"/>
  <c r="P154" i="4" s="1"/>
  <c r="P155" i="4" s="1"/>
  <c r="P156" i="4" s="1"/>
  <c r="P157" i="4" s="1"/>
  <c r="P158" i="4" s="1"/>
  <c r="P159" i="4" s="1"/>
  <c r="P160" i="4" s="1"/>
  <c r="P161" i="4" s="1"/>
  <c r="P162" i="4" s="1"/>
  <c r="S152" i="4" s="1"/>
  <c r="S153" i="4" s="1"/>
  <c r="S154" i="4" s="1"/>
  <c r="S155" i="4" s="1"/>
  <c r="S156" i="4" s="1"/>
  <c r="S157" i="4" s="1"/>
  <c r="S158" i="4" s="1"/>
  <c r="S159" i="4" s="1"/>
  <c r="S160" i="4" s="1"/>
  <c r="S161" i="4" s="1"/>
  <c r="S162" i="4" s="1"/>
  <c r="V152" i="4" s="1"/>
  <c r="V153" i="4" s="1"/>
  <c r="V154" i="4" s="1"/>
  <c r="V155" i="4" s="1"/>
  <c r="V156" i="4" s="1"/>
  <c r="V157" i="4" s="1"/>
  <c r="V158" i="4" s="1"/>
  <c r="V159" i="4" s="1"/>
  <c r="V160" i="4" s="1"/>
  <c r="V161" i="4" s="1"/>
  <c r="V162" i="4" s="1"/>
  <c r="D164" i="4" s="1"/>
  <c r="D165" i="4" s="1"/>
  <c r="D166" i="4" s="1"/>
  <c r="D167" i="4" s="1"/>
  <c r="D168" i="4" s="1"/>
  <c r="D169" i="4" s="1"/>
  <c r="D170" i="4" s="1"/>
  <c r="D171" i="4" s="1"/>
  <c r="D172" i="4" s="1"/>
  <c r="D173" i="4" s="1"/>
  <c r="D174" i="4" s="1"/>
  <c r="G164" i="4" s="1"/>
  <c r="G165" i="4" s="1"/>
  <c r="G166" i="4" s="1"/>
  <c r="G167" i="4" s="1"/>
  <c r="G168" i="4" s="1"/>
  <c r="G169" i="4" s="1"/>
  <c r="G170" i="4" s="1"/>
  <c r="G171" i="4" s="1"/>
  <c r="G172" i="4" s="1"/>
  <c r="G173" i="4" s="1"/>
  <c r="G174" i="4" s="1"/>
  <c r="J164" i="4" s="1"/>
  <c r="J165" i="4" s="1"/>
  <c r="J166" i="4" s="1"/>
  <c r="J167" i="4" s="1"/>
  <c r="J168" i="4" s="1"/>
  <c r="J169" i="4" s="1"/>
  <c r="J170" i="4" s="1"/>
  <c r="J171" i="4" s="1"/>
  <c r="J172" i="4" s="1"/>
  <c r="J173" i="4" s="1"/>
  <c r="J174" i="4" s="1"/>
  <c r="M164" i="4" s="1"/>
  <c r="M165" i="4" s="1"/>
  <c r="M166" i="4" s="1"/>
  <c r="M167" i="4" s="1"/>
  <c r="M168" i="4" s="1"/>
  <c r="M169" i="4" s="1"/>
  <c r="M170" i="4" s="1"/>
  <c r="M171" i="4" s="1"/>
  <c r="M172" i="4" s="1"/>
  <c r="M173" i="4" s="1"/>
  <c r="M174" i="4" s="1"/>
  <c r="P164" i="4" s="1"/>
  <c r="P165" i="4" s="1"/>
  <c r="P166" i="4" s="1"/>
  <c r="P167" i="4" s="1"/>
  <c r="P168" i="4" s="1"/>
  <c r="P169" i="4" s="1"/>
  <c r="P170" i="4" s="1"/>
  <c r="P171" i="4" s="1"/>
  <c r="P172" i="4" s="1"/>
  <c r="P173" i="4" s="1"/>
  <c r="P174" i="4" s="1"/>
  <c r="S164" i="4" s="1"/>
  <c r="S165" i="4" s="1"/>
  <c r="S166" i="4" s="1"/>
  <c r="S167" i="4" s="1"/>
  <c r="S168" i="4" s="1"/>
  <c r="S169" i="4" s="1"/>
  <c r="S170" i="4" s="1"/>
  <c r="S171" i="4" s="1"/>
  <c r="S172" i="4" s="1"/>
  <c r="S173" i="4" s="1"/>
  <c r="S174" i="4" s="1"/>
  <c r="V164" i="4" s="1"/>
  <c r="V165" i="4" s="1"/>
  <c r="V166" i="4" s="1"/>
  <c r="V167" i="4" s="1"/>
  <c r="V168" i="4" s="1"/>
  <c r="V169" i="4" s="1"/>
  <c r="V170" i="4" s="1"/>
  <c r="V171" i="4" s="1"/>
  <c r="V172" i="4" s="1"/>
  <c r="V173" i="4" s="1"/>
  <c r="V174" i="4" s="1"/>
  <c r="D176" i="4" s="1"/>
  <c r="D177" i="4" s="1"/>
  <c r="D178" i="4" s="1"/>
  <c r="D179" i="4" s="1"/>
  <c r="D180" i="4" s="1"/>
  <c r="D181" i="4" s="1"/>
  <c r="D182" i="4" s="1"/>
  <c r="D183" i="4" s="1"/>
  <c r="D184" i="4" s="1"/>
  <c r="D185" i="4" s="1"/>
  <c r="D186" i="4" s="1"/>
  <c r="G176" i="4" s="1"/>
  <c r="G177" i="4" s="1"/>
  <c r="G178" i="4" s="1"/>
  <c r="G179" i="4" s="1"/>
  <c r="G180" i="4" s="1"/>
  <c r="G181" i="4" s="1"/>
  <c r="G182" i="4" s="1"/>
  <c r="G183" i="4" s="1"/>
  <c r="G184" i="4" s="1"/>
  <c r="G185" i="4" s="1"/>
  <c r="G186" i="4" s="1"/>
  <c r="J176" i="4" s="1"/>
  <c r="J177" i="4" s="1"/>
  <c r="J178" i="4" s="1"/>
  <c r="J179" i="4" s="1"/>
  <c r="J180" i="4" s="1"/>
  <c r="J181" i="4" s="1"/>
  <c r="J182" i="4" s="1"/>
  <c r="J183" i="4" s="1"/>
  <c r="J184" i="4" s="1"/>
  <c r="J185" i="4" s="1"/>
  <c r="J186" i="4" s="1"/>
  <c r="M176" i="4" s="1"/>
  <c r="M177" i="4" s="1"/>
  <c r="M178" i="4" s="1"/>
  <c r="M179" i="4" s="1"/>
  <c r="M180" i="4" s="1"/>
  <c r="M181" i="4" s="1"/>
  <c r="M182" i="4" s="1"/>
  <c r="M183" i="4" s="1"/>
  <c r="M184" i="4" s="1"/>
  <c r="M185" i="4" s="1"/>
  <c r="M186" i="4" s="1"/>
  <c r="P176" i="4" s="1"/>
  <c r="P177" i="4" s="1"/>
  <c r="P178" i="4" s="1"/>
  <c r="P179" i="4" s="1"/>
  <c r="P180" i="4" s="1"/>
  <c r="P181" i="4" s="1"/>
  <c r="P182" i="4" s="1"/>
  <c r="P183" i="4" s="1"/>
  <c r="P184" i="4" s="1"/>
  <c r="P185" i="4" s="1"/>
  <c r="P186" i="4" s="1"/>
  <c r="S176" i="4" s="1"/>
  <c r="S177" i="4" s="1"/>
  <c r="S178" i="4" s="1"/>
  <c r="S179" i="4" s="1"/>
  <c r="S180" i="4" s="1"/>
  <c r="S181" i="4" s="1"/>
  <c r="S182" i="4" s="1"/>
  <c r="S183" i="4" s="1"/>
  <c r="S184" i="4" s="1"/>
  <c r="S185" i="4" s="1"/>
  <c r="S186" i="4" s="1"/>
  <c r="V176" i="4" s="1"/>
  <c r="V177" i="4" s="1"/>
  <c r="V178" i="4" s="1"/>
  <c r="V179" i="4" s="1"/>
  <c r="V180" i="4" s="1"/>
  <c r="V181" i="4" s="1"/>
  <c r="V182" i="4" s="1"/>
  <c r="V183" i="4" s="1"/>
  <c r="V184" i="4" s="1"/>
  <c r="V185" i="4" s="1"/>
  <c r="V186" i="4" s="1"/>
  <c r="D188" i="4" s="1"/>
  <c r="D189" i="4" s="1"/>
  <c r="D190" i="4" s="1"/>
  <c r="D191" i="4" s="1"/>
  <c r="D192" i="4" s="1"/>
  <c r="D193" i="4" s="1"/>
  <c r="D194" i="4" s="1"/>
  <c r="D195" i="4" s="1"/>
  <c r="D196" i="4" s="1"/>
  <c r="D197" i="4" s="1"/>
  <c r="D198" i="4" s="1"/>
  <c r="G188" i="4" s="1"/>
  <c r="G189" i="4" s="1"/>
  <c r="G190" i="4" s="1"/>
  <c r="G191" i="4" s="1"/>
  <c r="G192" i="4" s="1"/>
  <c r="G193" i="4" s="1"/>
  <c r="G194" i="4" s="1"/>
  <c r="G195" i="4" s="1"/>
  <c r="G196" i="4" s="1"/>
  <c r="G197" i="4" s="1"/>
  <c r="G198" i="4" s="1"/>
  <c r="J188" i="4" s="1"/>
  <c r="J189" i="4" s="1"/>
  <c r="J190" i="4" s="1"/>
  <c r="J191" i="4" s="1"/>
  <c r="J192" i="4" s="1"/>
  <c r="J193" i="4" s="1"/>
  <c r="J194" i="4" s="1"/>
  <c r="J195" i="4" s="1"/>
  <c r="J196" i="4" s="1"/>
  <c r="J197" i="4" s="1"/>
  <c r="J198" i="4" s="1"/>
  <c r="M188" i="4" s="1"/>
  <c r="M189" i="4" s="1"/>
  <c r="M190" i="4" s="1"/>
  <c r="M191" i="4" s="1"/>
  <c r="M192" i="4" s="1"/>
  <c r="M193" i="4" s="1"/>
  <c r="M194" i="4" s="1"/>
  <c r="M195" i="4" s="1"/>
  <c r="M196" i="4" s="1"/>
  <c r="M197" i="4" s="1"/>
  <c r="M198" i="4" s="1"/>
  <c r="P188" i="4" s="1"/>
  <c r="P189" i="4" s="1"/>
  <c r="P190" i="4" s="1"/>
  <c r="P191" i="4" s="1"/>
  <c r="P192" i="4" s="1"/>
  <c r="P193" i="4" s="1"/>
  <c r="P194" i="4" s="1"/>
  <c r="P195" i="4" s="1"/>
  <c r="P196" i="4" s="1"/>
  <c r="P197" i="4" s="1"/>
  <c r="P198" i="4" s="1"/>
  <c r="S188" i="4" s="1"/>
  <c r="S189" i="4" s="1"/>
  <c r="S190" i="4" s="1"/>
  <c r="S191" i="4" s="1"/>
  <c r="S192" i="4" s="1"/>
  <c r="S193" i="4" s="1"/>
  <c r="S194" i="4" s="1"/>
  <c r="S195" i="4" s="1"/>
  <c r="S196" i="4" s="1"/>
  <c r="S197" i="4" s="1"/>
  <c r="S198" i="4" s="1"/>
  <c r="V188" i="4" s="1"/>
  <c r="V189" i="4" s="1"/>
  <c r="V190" i="4" s="1"/>
  <c r="V191" i="4" s="1"/>
  <c r="V192" i="4" s="1"/>
  <c r="V193" i="4" s="1"/>
  <c r="V194" i="4" s="1"/>
  <c r="V195" i="4" s="1"/>
  <c r="V196" i="4" s="1"/>
  <c r="V197" i="4" s="1"/>
  <c r="V198" i="4" s="1"/>
  <c r="D200" i="4" s="1"/>
  <c r="D201" i="4" s="1"/>
  <c r="D202" i="4" s="1"/>
  <c r="D203" i="4" s="1"/>
  <c r="D204" i="4" s="1"/>
  <c r="D205" i="4" s="1"/>
  <c r="D206" i="4" s="1"/>
  <c r="D207" i="4" s="1"/>
  <c r="D208" i="4" s="1"/>
  <c r="D209" i="4" s="1"/>
  <c r="D210" i="4" s="1"/>
  <c r="G200" i="4" s="1"/>
  <c r="G201" i="4" s="1"/>
  <c r="G202" i="4" s="1"/>
  <c r="G203" i="4" s="1"/>
  <c r="G204" i="4" s="1"/>
  <c r="G205" i="4" s="1"/>
  <c r="G206" i="4" s="1"/>
  <c r="G207" i="4" s="1"/>
  <c r="G208" i="4" s="1"/>
  <c r="G209" i="4" s="1"/>
  <c r="G210" i="4" s="1"/>
  <c r="J200" i="4" s="1"/>
  <c r="J201" i="4" s="1"/>
  <c r="J202" i="4" s="1"/>
  <c r="J203" i="4" s="1"/>
  <c r="J204" i="4" s="1"/>
  <c r="J205" i="4" s="1"/>
  <c r="J206" i="4" s="1"/>
  <c r="J207" i="4" s="1"/>
  <c r="J208" i="4" s="1"/>
  <c r="J209" i="4" s="1"/>
  <c r="J210" i="4" s="1"/>
  <c r="M200" i="4" s="1"/>
  <c r="M201" i="4" s="1"/>
  <c r="M202" i="4" s="1"/>
  <c r="M203" i="4" s="1"/>
  <c r="M204" i="4" s="1"/>
  <c r="M205" i="4" s="1"/>
  <c r="M206" i="4" s="1"/>
  <c r="M207" i="4" s="1"/>
  <c r="M208" i="4" s="1"/>
  <c r="M209" i="4" s="1"/>
  <c r="M210" i="4" s="1"/>
  <c r="P200" i="4" s="1"/>
  <c r="P201" i="4" s="1"/>
  <c r="P202" i="4" s="1"/>
  <c r="P203" i="4" s="1"/>
  <c r="P204" i="4" s="1"/>
  <c r="P205" i="4" s="1"/>
  <c r="P206" i="4" s="1"/>
  <c r="P207" i="4" s="1"/>
  <c r="P208" i="4" s="1"/>
  <c r="P209" i="4" s="1"/>
  <c r="P210" i="4" s="1"/>
  <c r="S200" i="4" s="1"/>
  <c r="S201" i="4" s="1"/>
  <c r="S202" i="4" s="1"/>
  <c r="S203" i="4" s="1"/>
  <c r="S204" i="4" s="1"/>
  <c r="S205" i="4" s="1"/>
  <c r="S206" i="4" s="1"/>
  <c r="S207" i="4" s="1"/>
  <c r="S208" i="4" s="1"/>
  <c r="S209" i="4" s="1"/>
  <c r="S210" i="4" s="1"/>
  <c r="V200" i="4" s="1"/>
  <c r="V201" i="4" s="1"/>
  <c r="V202" i="4" s="1"/>
  <c r="V203" i="4" s="1"/>
  <c r="V204" i="4" s="1"/>
  <c r="V205" i="4" s="1"/>
  <c r="V206" i="4" s="1"/>
  <c r="V207" i="4" s="1"/>
  <c r="V208" i="4" s="1"/>
  <c r="V209" i="4" s="1"/>
  <c r="V210" i="4" s="1"/>
  <c r="D212" i="4" s="1"/>
  <c r="D213" i="4" s="1"/>
  <c r="D214" i="4" s="1"/>
  <c r="D215" i="4" s="1"/>
  <c r="D216" i="4" s="1"/>
  <c r="D217" i="4" s="1"/>
  <c r="D218" i="4" s="1"/>
  <c r="D219" i="4" s="1"/>
  <c r="D220" i="4" s="1"/>
  <c r="D221" i="4" s="1"/>
  <c r="D222" i="4" s="1"/>
  <c r="G212" i="4" s="1"/>
  <c r="G213" i="4" s="1"/>
  <c r="G214" i="4" s="1"/>
  <c r="G215" i="4" s="1"/>
  <c r="G216" i="4" s="1"/>
  <c r="G217" i="4" s="1"/>
  <c r="G218" i="4" s="1"/>
  <c r="G219" i="4" s="1"/>
  <c r="G220" i="4" s="1"/>
  <c r="G221" i="4" s="1"/>
  <c r="G222" i="4" s="1"/>
  <c r="J212" i="4" s="1"/>
  <c r="J213" i="4" s="1"/>
  <c r="J214" i="4" s="1"/>
  <c r="J215" i="4" s="1"/>
  <c r="J216" i="4" s="1"/>
  <c r="J217" i="4" s="1"/>
  <c r="J218" i="4" s="1"/>
  <c r="J219" i="4" s="1"/>
  <c r="J220" i="4" s="1"/>
  <c r="J221" i="4" s="1"/>
  <c r="J222" i="4" s="1"/>
  <c r="M212" i="4" s="1"/>
  <c r="M213" i="4" s="1"/>
  <c r="M214" i="4" s="1"/>
  <c r="M215" i="4" s="1"/>
  <c r="M216" i="4" s="1"/>
  <c r="M217" i="4" s="1"/>
  <c r="M218" i="4" s="1"/>
  <c r="M219" i="4" s="1"/>
  <c r="M220" i="4" s="1"/>
  <c r="M221" i="4" s="1"/>
  <c r="M222" i="4" s="1"/>
  <c r="P212" i="4" s="1"/>
  <c r="P213" i="4" s="1"/>
  <c r="P214" i="4" s="1"/>
  <c r="P215" i="4" s="1"/>
  <c r="P216" i="4" s="1"/>
  <c r="P217" i="4" s="1"/>
  <c r="P218" i="4" s="1"/>
  <c r="P219" i="4" s="1"/>
  <c r="P220" i="4" s="1"/>
  <c r="P221" i="4" s="1"/>
  <c r="P222" i="4" s="1"/>
  <c r="S212" i="4" s="1"/>
  <c r="S213" i="4" s="1"/>
  <c r="S214" i="4" s="1"/>
  <c r="S215" i="4" s="1"/>
  <c r="S216" i="4" s="1"/>
  <c r="S217" i="4" s="1"/>
  <c r="S218" i="4" s="1"/>
  <c r="S219" i="4" s="1"/>
  <c r="S220" i="4" s="1"/>
  <c r="S221" i="4" s="1"/>
  <c r="S222" i="4" s="1"/>
  <c r="V212" i="4" s="1"/>
  <c r="V213" i="4" s="1"/>
  <c r="V214" i="4" s="1"/>
  <c r="V215" i="4" s="1"/>
  <c r="V216" i="4" s="1"/>
  <c r="V217" i="4" s="1"/>
  <c r="V218" i="4" s="1"/>
  <c r="V219" i="4" s="1"/>
  <c r="V220" i="4" s="1"/>
  <c r="V221" i="4" s="1"/>
  <c r="V222" i="4" s="1"/>
  <c r="D224" i="4" s="1"/>
  <c r="D225" i="4" s="1"/>
  <c r="D226" i="4" s="1"/>
  <c r="D227" i="4" s="1"/>
  <c r="D228" i="4" s="1"/>
  <c r="D229" i="4" s="1"/>
  <c r="D230" i="4" s="1"/>
  <c r="D231" i="4" s="1"/>
  <c r="D232" i="4" s="1"/>
  <c r="D233" i="4" s="1"/>
  <c r="D234" i="4" s="1"/>
  <c r="G224" i="4" s="1"/>
  <c r="G225" i="4" s="1"/>
  <c r="G226" i="4" s="1"/>
  <c r="G227" i="4" s="1"/>
  <c r="G228" i="4" s="1"/>
  <c r="G229" i="4" s="1"/>
  <c r="G230" i="4" s="1"/>
  <c r="G231" i="4" s="1"/>
  <c r="G232" i="4" s="1"/>
  <c r="G233" i="4" s="1"/>
  <c r="G234" i="4" s="1"/>
  <c r="J224" i="4" s="1"/>
  <c r="J225" i="4" s="1"/>
  <c r="J226" i="4" s="1"/>
  <c r="J227" i="4" s="1"/>
  <c r="J228" i="4" s="1"/>
  <c r="J229" i="4" s="1"/>
  <c r="J230" i="4" s="1"/>
  <c r="J231" i="4" s="1"/>
  <c r="J232" i="4" s="1"/>
  <c r="J233" i="4" s="1"/>
  <c r="J234" i="4" s="1"/>
  <c r="M224" i="4" s="1"/>
  <c r="M225" i="4" s="1"/>
  <c r="M226" i="4" s="1"/>
  <c r="M227" i="4" s="1"/>
  <c r="M228" i="4" s="1"/>
  <c r="M229" i="4" s="1"/>
  <c r="M230" i="4" s="1"/>
  <c r="M231" i="4" s="1"/>
  <c r="M232" i="4" s="1"/>
  <c r="M233" i="4" s="1"/>
  <c r="M234" i="4" s="1"/>
  <c r="P224" i="4" s="1"/>
  <c r="P225" i="4" s="1"/>
  <c r="P226" i="4" s="1"/>
  <c r="P227" i="4" s="1"/>
  <c r="P228" i="4" s="1"/>
  <c r="P229" i="4" s="1"/>
  <c r="P230" i="4" s="1"/>
  <c r="P231" i="4" s="1"/>
  <c r="P232" i="4" s="1"/>
  <c r="P233" i="4" s="1"/>
  <c r="P234" i="4" s="1"/>
  <c r="S224" i="4" s="1"/>
  <c r="S225" i="4" s="1"/>
  <c r="S226" i="4" s="1"/>
  <c r="S227" i="4" s="1"/>
  <c r="S228" i="4" s="1"/>
  <c r="S229" i="4" s="1"/>
  <c r="S230" i="4" s="1"/>
  <c r="S231" i="4" s="1"/>
  <c r="S232" i="4" s="1"/>
  <c r="S233" i="4" s="1"/>
  <c r="S234" i="4" s="1"/>
  <c r="V224" i="4" s="1"/>
  <c r="V225" i="4" s="1"/>
  <c r="V226" i="4" s="1"/>
  <c r="V227" i="4" s="1"/>
  <c r="V228" i="4" s="1"/>
  <c r="V229" i="4" s="1"/>
  <c r="V230" i="4" s="1"/>
  <c r="V231" i="4" s="1"/>
  <c r="V232" i="4" s="1"/>
  <c r="V233" i="4" s="1"/>
  <c r="V234" i="4" s="1"/>
  <c r="D236" i="4" s="1"/>
  <c r="D237" i="4" s="1"/>
  <c r="D238" i="4" s="1"/>
  <c r="D239" i="4" s="1"/>
  <c r="D240" i="4" s="1"/>
  <c r="D241" i="4" s="1"/>
  <c r="D242" i="4" s="1"/>
  <c r="D243" i="4" s="1"/>
  <c r="D244" i="4" s="1"/>
  <c r="D245" i="4" s="1"/>
  <c r="D246" i="4" s="1"/>
  <c r="G236" i="4" s="1"/>
  <c r="G237" i="4" s="1"/>
  <c r="G238" i="4" s="1"/>
  <c r="G239" i="4" s="1"/>
  <c r="G240" i="4" s="1"/>
  <c r="G241" i="4" s="1"/>
  <c r="G242" i="4" s="1"/>
  <c r="G243" i="4" s="1"/>
  <c r="G244" i="4" s="1"/>
  <c r="G245" i="4" s="1"/>
  <c r="G246" i="4" s="1"/>
  <c r="J236" i="4" s="1"/>
  <c r="J237" i="4" s="1"/>
  <c r="J238" i="4" s="1"/>
  <c r="J239" i="4" s="1"/>
  <c r="J240" i="4" s="1"/>
  <c r="J241" i="4" s="1"/>
  <c r="J242" i="4" s="1"/>
  <c r="J243" i="4" s="1"/>
  <c r="J244" i="4" s="1"/>
  <c r="J245" i="4" s="1"/>
  <c r="J246" i="4" s="1"/>
  <c r="M236" i="4" s="1"/>
  <c r="M237" i="4" s="1"/>
  <c r="M238" i="4" s="1"/>
  <c r="M239" i="4" s="1"/>
  <c r="M240" i="4" s="1"/>
  <c r="M241" i="4" s="1"/>
  <c r="M242" i="4" s="1"/>
  <c r="M243" i="4" s="1"/>
  <c r="M244" i="4" s="1"/>
  <c r="M245" i="4" s="1"/>
  <c r="M246" i="4" s="1"/>
  <c r="P236" i="4" s="1"/>
  <c r="P237" i="4" s="1"/>
  <c r="P238" i="4" s="1"/>
  <c r="P239" i="4" s="1"/>
  <c r="P240" i="4" s="1"/>
  <c r="P241" i="4" s="1"/>
  <c r="P242" i="4" s="1"/>
  <c r="P243" i="4" s="1"/>
  <c r="P244" i="4" s="1"/>
  <c r="P245" i="4" s="1"/>
  <c r="P246" i="4" s="1"/>
  <c r="S236" i="4" s="1"/>
  <c r="S237" i="4" s="1"/>
  <c r="S238" i="4" s="1"/>
  <c r="S239" i="4" s="1"/>
  <c r="S240" i="4" s="1"/>
  <c r="S241" i="4" s="1"/>
  <c r="S242" i="4" s="1"/>
  <c r="S243" i="4" s="1"/>
  <c r="S244" i="4" s="1"/>
  <c r="S245" i="4" s="1"/>
  <c r="S246" i="4" s="1"/>
  <c r="V236" i="4" s="1"/>
  <c r="V237" i="4" s="1"/>
  <c r="V238" i="4" s="1"/>
  <c r="V239" i="4" s="1"/>
  <c r="V240" i="4" s="1"/>
  <c r="V241" i="4" s="1"/>
  <c r="V242" i="4" s="1"/>
  <c r="V243" i="4" s="1"/>
  <c r="V244" i="4" s="1"/>
  <c r="V245" i="4" s="1"/>
  <c r="V246" i="4" s="1"/>
  <c r="D248" i="4" s="1"/>
  <c r="D249" i="4" s="1"/>
  <c r="D250" i="4" s="1"/>
  <c r="D251" i="4" s="1"/>
  <c r="D252" i="4" s="1"/>
  <c r="D253" i="4" s="1"/>
  <c r="D254" i="4" s="1"/>
  <c r="D255" i="4" s="1"/>
  <c r="D256" i="4" s="1"/>
  <c r="D257" i="4" s="1"/>
  <c r="D258" i="4" s="1"/>
  <c r="G248" i="4" s="1"/>
  <c r="G249" i="4" s="1"/>
  <c r="G250" i="4" s="1"/>
  <c r="G251" i="4" s="1"/>
  <c r="G252" i="4" s="1"/>
  <c r="G253" i="4" s="1"/>
  <c r="G254" i="4" s="1"/>
  <c r="G255" i="4" s="1"/>
  <c r="G256" i="4" s="1"/>
  <c r="G257" i="4" s="1"/>
  <c r="G258" i="4" s="1"/>
  <c r="J248" i="4" s="1"/>
  <c r="J249" i="4" s="1"/>
  <c r="J250" i="4" s="1"/>
  <c r="J251" i="4" s="1"/>
  <c r="J252" i="4" s="1"/>
  <c r="J253" i="4" s="1"/>
  <c r="J254" i="4" s="1"/>
  <c r="J255" i="4" s="1"/>
  <c r="J256" i="4" s="1"/>
  <c r="J257" i="4" s="1"/>
  <c r="J258" i="4" s="1"/>
  <c r="M248" i="4" s="1"/>
  <c r="M249" i="4" s="1"/>
  <c r="M250" i="4" s="1"/>
  <c r="M251" i="4" s="1"/>
  <c r="M252" i="4" s="1"/>
  <c r="M253" i="4" s="1"/>
  <c r="M254" i="4" s="1"/>
  <c r="M255" i="4" s="1"/>
  <c r="M256" i="4" s="1"/>
  <c r="M257" i="4" s="1"/>
  <c r="M258" i="4" s="1"/>
  <c r="P248" i="4" s="1"/>
  <c r="P249" i="4" s="1"/>
  <c r="P250" i="4" s="1"/>
  <c r="P251" i="4" s="1"/>
  <c r="P252" i="4" s="1"/>
  <c r="P253" i="4" s="1"/>
  <c r="P254" i="4" s="1"/>
  <c r="P255" i="4" s="1"/>
  <c r="P256" i="4" s="1"/>
  <c r="P257" i="4" s="1"/>
  <c r="P258" i="4" s="1"/>
  <c r="S248" i="4" s="1"/>
  <c r="S249" i="4" s="1"/>
  <c r="S250" i="4" s="1"/>
  <c r="S251" i="4" s="1"/>
  <c r="S252" i="4" s="1"/>
  <c r="S253" i="4" s="1"/>
  <c r="S254" i="4" s="1"/>
  <c r="S255" i="4" s="1"/>
  <c r="S256" i="4" s="1"/>
  <c r="S257" i="4" s="1"/>
  <c r="S258" i="4" s="1"/>
  <c r="V248" i="4" s="1"/>
  <c r="V249" i="4" s="1"/>
  <c r="V250" i="4" s="1"/>
  <c r="V251" i="4" s="1"/>
  <c r="V252" i="4" s="1"/>
  <c r="V253" i="4" s="1"/>
  <c r="V254" i="4" s="1"/>
  <c r="V255" i="4" s="1"/>
  <c r="V256" i="4" s="1"/>
  <c r="V257" i="4" s="1"/>
  <c r="V258" i="4" s="1"/>
  <c r="D260" i="4" s="1"/>
  <c r="D261" i="4" s="1"/>
  <c r="D262" i="4" s="1"/>
  <c r="D263" i="4" s="1"/>
  <c r="D264" i="4" s="1"/>
  <c r="D265" i="4" s="1"/>
  <c r="D266" i="4" s="1"/>
  <c r="D267" i="4" s="1"/>
  <c r="D268" i="4" s="1"/>
  <c r="D269" i="4" s="1"/>
  <c r="D270" i="4" s="1"/>
  <c r="G260" i="4" s="1"/>
  <c r="G261" i="4" s="1"/>
  <c r="G262" i="4" s="1"/>
  <c r="G263" i="4" s="1"/>
  <c r="G264" i="4" s="1"/>
  <c r="G265" i="4" s="1"/>
  <c r="G266" i="4" s="1"/>
  <c r="G267" i="4" s="1"/>
  <c r="G268" i="4" s="1"/>
  <c r="G269" i="4" s="1"/>
  <c r="G270" i="4" s="1"/>
  <c r="J260" i="4" s="1"/>
  <c r="J261" i="4" s="1"/>
  <c r="J262" i="4" s="1"/>
  <c r="J263" i="4" s="1"/>
  <c r="J264" i="4" s="1"/>
  <c r="J265" i="4" s="1"/>
  <c r="J266" i="4" s="1"/>
  <c r="J267" i="4" s="1"/>
  <c r="J268" i="4" s="1"/>
  <c r="J269" i="4" s="1"/>
  <c r="J270" i="4" s="1"/>
  <c r="M260" i="4" s="1"/>
  <c r="M261" i="4" s="1"/>
  <c r="M262" i="4" s="1"/>
  <c r="M263" i="4" s="1"/>
  <c r="M264" i="4" s="1"/>
  <c r="M265" i="4" s="1"/>
  <c r="M266" i="4" s="1"/>
  <c r="M267" i="4" s="1"/>
  <c r="M268" i="4" s="1"/>
  <c r="M269" i="4" s="1"/>
  <c r="M270" i="4" s="1"/>
  <c r="P260" i="4" s="1"/>
  <c r="P261" i="4" s="1"/>
  <c r="P262" i="4" s="1"/>
  <c r="P263" i="4" s="1"/>
  <c r="P264" i="4" s="1"/>
  <c r="P265" i="4" s="1"/>
  <c r="P266" i="4" s="1"/>
  <c r="P267" i="4" s="1"/>
  <c r="P268" i="4" s="1"/>
  <c r="P269" i="4" s="1"/>
  <c r="P270" i="4" s="1"/>
  <c r="S260" i="4" s="1"/>
  <c r="S261" i="4" s="1"/>
  <c r="S262" i="4" s="1"/>
  <c r="S263" i="4" s="1"/>
  <c r="S264" i="4" s="1"/>
  <c r="S265" i="4" s="1"/>
  <c r="S266" i="4" s="1"/>
  <c r="S267" i="4" s="1"/>
  <c r="S268" i="4" s="1"/>
  <c r="S269" i="4" s="1"/>
  <c r="S270" i="4" s="1"/>
  <c r="V260" i="4" s="1"/>
  <c r="V261" i="4" s="1"/>
  <c r="V262" i="4" s="1"/>
  <c r="V263" i="4" s="1"/>
  <c r="V264" i="4" s="1"/>
  <c r="V265" i="4" s="1"/>
  <c r="V266" i="4" s="1"/>
  <c r="V267" i="4" s="1"/>
  <c r="V268" i="4" s="1"/>
  <c r="V269" i="4" s="1"/>
  <c r="V270" i="4" s="1"/>
  <c r="D272" i="4" s="1"/>
  <c r="D273" i="4" s="1"/>
  <c r="D274" i="4" s="1"/>
  <c r="D275" i="4" s="1"/>
  <c r="D276" i="4" s="1"/>
  <c r="D277" i="4" s="1"/>
  <c r="D278" i="4" s="1"/>
  <c r="D279" i="4" s="1"/>
  <c r="D280" i="4" s="1"/>
  <c r="D281" i="4" s="1"/>
  <c r="D282" i="4" s="1"/>
  <c r="G272" i="4" s="1"/>
  <c r="G273" i="4" s="1"/>
  <c r="G274" i="4" s="1"/>
  <c r="G275" i="4" s="1"/>
  <c r="G276" i="4" s="1"/>
  <c r="G277" i="4" s="1"/>
  <c r="G278" i="4" s="1"/>
  <c r="G279" i="4" s="1"/>
  <c r="G280" i="4" s="1"/>
  <c r="G281" i="4" s="1"/>
  <c r="G282" i="4" s="1"/>
  <c r="J272" i="4" s="1"/>
  <c r="J273" i="4" s="1"/>
  <c r="J274" i="4" s="1"/>
  <c r="J275" i="4" s="1"/>
  <c r="J276" i="4" s="1"/>
  <c r="J277" i="4" s="1"/>
  <c r="J278" i="4" s="1"/>
  <c r="J279" i="4" s="1"/>
  <c r="J280" i="4" s="1"/>
  <c r="J281" i="4" s="1"/>
  <c r="J282" i="4" s="1"/>
  <c r="M272" i="4" s="1"/>
  <c r="M273" i="4" s="1"/>
  <c r="M274" i="4" s="1"/>
  <c r="M275" i="4" s="1"/>
  <c r="M276" i="4" s="1"/>
  <c r="M277" i="4" s="1"/>
  <c r="M278" i="4" s="1"/>
  <c r="M279" i="4" s="1"/>
  <c r="M280" i="4" s="1"/>
  <c r="M281" i="4" s="1"/>
  <c r="M282" i="4" s="1"/>
  <c r="P272" i="4" s="1"/>
  <c r="P273" i="4" s="1"/>
  <c r="P274" i="4" s="1"/>
  <c r="P275" i="4" s="1"/>
  <c r="P276" i="4" s="1"/>
  <c r="P277" i="4" s="1"/>
  <c r="P278" i="4" s="1"/>
  <c r="P279" i="4" s="1"/>
  <c r="P280" i="4" s="1"/>
  <c r="P281" i="4" s="1"/>
  <c r="P282" i="4" s="1"/>
  <c r="S272" i="4" s="1"/>
  <c r="S273" i="4" s="1"/>
  <c r="S274" i="4" s="1"/>
  <c r="S275" i="4" s="1"/>
  <c r="S276" i="4" s="1"/>
  <c r="S277" i="4" s="1"/>
  <c r="S278" i="4" s="1"/>
  <c r="S279" i="4" s="1"/>
  <c r="S280" i="4" s="1"/>
  <c r="S281" i="4" s="1"/>
  <c r="S282" i="4" s="1"/>
  <c r="V272" i="4" s="1"/>
  <c r="V273" i="4" s="1"/>
  <c r="V274" i="4" s="1"/>
  <c r="V275" i="4" s="1"/>
  <c r="V276" i="4" s="1"/>
  <c r="V277" i="4" s="1"/>
  <c r="V278" i="4" s="1"/>
  <c r="V279" i="4" s="1"/>
  <c r="V280" i="4" s="1"/>
  <c r="V281" i="4" s="1"/>
  <c r="V282" i="4" s="1"/>
  <c r="D284" i="4" s="1"/>
  <c r="D285" i="4" s="1"/>
  <c r="D286" i="4" s="1"/>
  <c r="D287" i="4" s="1"/>
  <c r="D288" i="4" s="1"/>
  <c r="D289" i="4" s="1"/>
  <c r="D290" i="4" s="1"/>
  <c r="D291" i="4" s="1"/>
  <c r="D292" i="4" s="1"/>
  <c r="D293" i="4" s="1"/>
  <c r="D294" i="4" s="1"/>
  <c r="G284" i="4" s="1"/>
  <c r="G285" i="4" s="1"/>
  <c r="G286" i="4" s="1"/>
  <c r="G287" i="4" s="1"/>
  <c r="G288" i="4" s="1"/>
  <c r="G289" i="4" s="1"/>
  <c r="G290" i="4" s="1"/>
  <c r="G291" i="4" s="1"/>
  <c r="G292" i="4" s="1"/>
  <c r="G293" i="4" s="1"/>
  <c r="G294" i="4" s="1"/>
  <c r="J284" i="4" s="1"/>
  <c r="J285" i="4" s="1"/>
  <c r="J286" i="4" s="1"/>
  <c r="J287" i="4" s="1"/>
  <c r="J288" i="4" s="1"/>
  <c r="J289" i="4" s="1"/>
  <c r="J290" i="4" s="1"/>
  <c r="J291" i="4" s="1"/>
  <c r="J292" i="4" s="1"/>
  <c r="J293" i="4" s="1"/>
  <c r="J294" i="4" s="1"/>
  <c r="M284" i="4" s="1"/>
  <c r="M285" i="4" s="1"/>
  <c r="M286" i="4" s="1"/>
  <c r="M287" i="4" s="1"/>
  <c r="M288" i="4" s="1"/>
  <c r="M289" i="4" s="1"/>
  <c r="M290" i="4" s="1"/>
  <c r="M291" i="4" s="1"/>
  <c r="M292" i="4" s="1"/>
  <c r="M293" i="4" s="1"/>
  <c r="M294" i="4" s="1"/>
  <c r="P284" i="4" s="1"/>
  <c r="P285" i="4" s="1"/>
  <c r="P286" i="4" s="1"/>
  <c r="P287" i="4" s="1"/>
  <c r="P288" i="4" s="1"/>
  <c r="P289" i="4" s="1"/>
  <c r="P290" i="4" s="1"/>
  <c r="P291" i="4" s="1"/>
  <c r="P292" i="4" s="1"/>
  <c r="P293" i="4" s="1"/>
  <c r="P294" i="4" s="1"/>
  <c r="S284" i="4" s="1"/>
  <c r="S285" i="4" s="1"/>
  <c r="S286" i="4" s="1"/>
  <c r="S287" i="4" s="1"/>
  <c r="S288" i="4" s="1"/>
  <c r="S289" i="4" s="1"/>
  <c r="S290" i="4" s="1"/>
  <c r="S291" i="4" s="1"/>
  <c r="S292" i="4" s="1"/>
  <c r="S293" i="4" s="1"/>
  <c r="S294" i="4" s="1"/>
  <c r="V284" i="4" s="1"/>
  <c r="V285" i="4" s="1"/>
  <c r="V286" i="4" s="1"/>
  <c r="V287" i="4" s="1"/>
  <c r="V288" i="4" s="1"/>
  <c r="V289" i="4" s="1"/>
  <c r="V290" i="4" s="1"/>
  <c r="V291" i="4" s="1"/>
  <c r="V292" i="4" s="1"/>
  <c r="V293" i="4" s="1"/>
  <c r="V294" i="4" s="1"/>
  <c r="D296" i="4" s="1"/>
  <c r="D297" i="4" s="1"/>
  <c r="D298" i="4" s="1"/>
  <c r="D299" i="4" s="1"/>
  <c r="D300" i="4" s="1"/>
  <c r="D301" i="4" s="1"/>
  <c r="D302" i="4" s="1"/>
  <c r="D303" i="4" s="1"/>
  <c r="D304" i="4" s="1"/>
  <c r="D305" i="4" s="1"/>
  <c r="D306" i="4" s="1"/>
  <c r="G296" i="4" s="1"/>
  <c r="G297" i="4" s="1"/>
  <c r="G298" i="4" s="1"/>
  <c r="G299" i="4" s="1"/>
  <c r="G300" i="4" s="1"/>
  <c r="G301" i="4" s="1"/>
  <c r="G302" i="4" s="1"/>
  <c r="G303" i="4" s="1"/>
  <c r="G304" i="4" s="1"/>
  <c r="G305" i="4" s="1"/>
  <c r="G306" i="4" s="1"/>
  <c r="J296" i="4" s="1"/>
  <c r="J297" i="4" s="1"/>
  <c r="J298" i="4" s="1"/>
  <c r="J299" i="4" s="1"/>
  <c r="J300" i="4" s="1"/>
  <c r="J301" i="4" s="1"/>
  <c r="J302" i="4" s="1"/>
  <c r="J303" i="4" s="1"/>
  <c r="J304" i="4" s="1"/>
  <c r="J305" i="4" s="1"/>
  <c r="J306" i="4" s="1"/>
  <c r="M296" i="4" s="1"/>
  <c r="M297" i="4" s="1"/>
  <c r="M298" i="4" s="1"/>
  <c r="M299" i="4" s="1"/>
  <c r="M300" i="4" s="1"/>
  <c r="M301" i="4" s="1"/>
  <c r="M302" i="4" s="1"/>
  <c r="M303" i="4" s="1"/>
  <c r="M304" i="4" s="1"/>
  <c r="M305" i="4" s="1"/>
  <c r="M306" i="4" s="1"/>
  <c r="P296" i="4" s="1"/>
  <c r="P297" i="4" s="1"/>
  <c r="P298" i="4" s="1"/>
  <c r="P299" i="4" s="1"/>
  <c r="P300" i="4" s="1"/>
  <c r="P301" i="4" s="1"/>
  <c r="P302" i="4" s="1"/>
  <c r="P303" i="4" s="1"/>
  <c r="P304" i="4" s="1"/>
  <c r="P305" i="4" s="1"/>
  <c r="P306" i="4" s="1"/>
  <c r="S296" i="4" s="1"/>
  <c r="S297" i="4" s="1"/>
  <c r="S298" i="4" s="1"/>
  <c r="S299" i="4" s="1"/>
  <c r="S300" i="4" s="1"/>
  <c r="S301" i="4" s="1"/>
  <c r="S302" i="4" s="1"/>
  <c r="S303" i="4" s="1"/>
  <c r="S304" i="4" s="1"/>
  <c r="S305" i="4" s="1"/>
  <c r="S306" i="4" s="1"/>
  <c r="V296" i="4" s="1"/>
  <c r="V297" i="4" s="1"/>
  <c r="V298" i="4" s="1"/>
  <c r="V299" i="4" s="1"/>
  <c r="V300" i="4" s="1"/>
  <c r="V301" i="4" s="1"/>
  <c r="V302" i="4" s="1"/>
  <c r="V303" i="4" s="1"/>
  <c r="V304" i="4" s="1"/>
  <c r="V305" i="4" s="1"/>
  <c r="V306" i="4" s="1"/>
  <c r="D308" i="4" s="1"/>
  <c r="D309" i="4" s="1"/>
  <c r="D310" i="4" s="1"/>
  <c r="D311" i="4" s="1"/>
  <c r="D312" i="4" s="1"/>
  <c r="D313" i="4" s="1"/>
  <c r="D314" i="4" s="1"/>
  <c r="D315" i="4" s="1"/>
  <c r="D316" i="4" s="1"/>
  <c r="D317" i="4" s="1"/>
  <c r="D318" i="4" s="1"/>
  <c r="G308" i="4" s="1"/>
  <c r="G309" i="4" s="1"/>
  <c r="G310" i="4" s="1"/>
  <c r="G311" i="4" s="1"/>
  <c r="G312" i="4" s="1"/>
  <c r="G313" i="4" s="1"/>
  <c r="G314" i="4" s="1"/>
  <c r="G315" i="4" s="1"/>
  <c r="G316" i="4" s="1"/>
  <c r="G317" i="4" s="1"/>
  <c r="G318" i="4" s="1"/>
  <c r="J308" i="4" s="1"/>
  <c r="J309" i="4" s="1"/>
  <c r="J310" i="4" s="1"/>
  <c r="J311" i="4" s="1"/>
  <c r="J312" i="4" s="1"/>
  <c r="J313" i="4" s="1"/>
  <c r="J314" i="4" s="1"/>
  <c r="J315" i="4" s="1"/>
  <c r="J316" i="4" s="1"/>
  <c r="J317" i="4" s="1"/>
  <c r="J318" i="4" s="1"/>
  <c r="M308" i="4" s="1"/>
  <c r="M309" i="4" s="1"/>
  <c r="M310" i="4" s="1"/>
  <c r="M311" i="4" s="1"/>
  <c r="M312" i="4" s="1"/>
  <c r="M313" i="4" s="1"/>
  <c r="M314" i="4" s="1"/>
  <c r="M315" i="4" s="1"/>
  <c r="M316" i="4" s="1"/>
  <c r="M317" i="4" s="1"/>
  <c r="M318" i="4" s="1"/>
  <c r="P308" i="4" s="1"/>
  <c r="P309" i="4" s="1"/>
  <c r="P310" i="4" s="1"/>
  <c r="P311" i="4" s="1"/>
  <c r="P312" i="4" s="1"/>
  <c r="P313" i="4" s="1"/>
  <c r="P314" i="4" s="1"/>
  <c r="P315" i="4" s="1"/>
  <c r="P316" i="4" s="1"/>
  <c r="P317" i="4" s="1"/>
  <c r="P318" i="4" s="1"/>
  <c r="S308" i="4" s="1"/>
  <c r="S309" i="4" s="1"/>
  <c r="S310" i="4" s="1"/>
  <c r="S311" i="4" s="1"/>
  <c r="S312" i="4" s="1"/>
  <c r="S313" i="4" s="1"/>
  <c r="S314" i="4" s="1"/>
  <c r="S315" i="4" s="1"/>
  <c r="S316" i="4" s="1"/>
  <c r="S317" i="4" s="1"/>
  <c r="S318" i="4" s="1"/>
  <c r="V308" i="4" s="1"/>
  <c r="V309" i="4" s="1"/>
  <c r="V310" i="4" s="1"/>
  <c r="V311" i="4" s="1"/>
  <c r="V312" i="4" s="1"/>
  <c r="V313" i="4" s="1"/>
  <c r="V314" i="4" s="1"/>
  <c r="V315" i="4" s="1"/>
  <c r="V316" i="4" s="1"/>
  <c r="V317" i="4" s="1"/>
  <c r="V318" i="4" s="1"/>
  <c r="D320" i="4" s="1"/>
  <c r="D321" i="4" s="1"/>
  <c r="D322" i="4" s="1"/>
  <c r="D323" i="4" s="1"/>
  <c r="D324" i="4" s="1"/>
  <c r="D325" i="4" s="1"/>
  <c r="D326" i="4" s="1"/>
  <c r="D327" i="4" s="1"/>
  <c r="D328" i="4" s="1"/>
  <c r="D329" i="4" s="1"/>
  <c r="D330" i="4" s="1"/>
  <c r="G320" i="4" s="1"/>
  <c r="G321" i="4" s="1"/>
  <c r="G322" i="4" s="1"/>
  <c r="G323" i="4" s="1"/>
  <c r="G324" i="4" s="1"/>
  <c r="G325" i="4" s="1"/>
  <c r="G326" i="4" s="1"/>
  <c r="G327" i="4" s="1"/>
  <c r="G328" i="4" s="1"/>
  <c r="G329" i="4" s="1"/>
  <c r="G330" i="4" s="1"/>
  <c r="J320" i="4" s="1"/>
  <c r="J321" i="4" s="1"/>
  <c r="J322" i="4" s="1"/>
  <c r="J323" i="4" s="1"/>
  <c r="J324" i="4" s="1"/>
  <c r="J325" i="4" s="1"/>
  <c r="J326" i="4" s="1"/>
  <c r="J327" i="4" s="1"/>
  <c r="J328" i="4" s="1"/>
  <c r="J329" i="4" s="1"/>
  <c r="J330" i="4" s="1"/>
  <c r="M320" i="4" s="1"/>
  <c r="M321" i="4" s="1"/>
  <c r="M322" i="4" s="1"/>
  <c r="M323" i="4" s="1"/>
  <c r="M324" i="4" s="1"/>
  <c r="M325" i="4" s="1"/>
  <c r="M326" i="4" s="1"/>
  <c r="M327" i="4" s="1"/>
  <c r="M328" i="4" s="1"/>
  <c r="M329" i="4" s="1"/>
  <c r="M330" i="4" s="1"/>
  <c r="P320" i="4" s="1"/>
  <c r="P321" i="4" s="1"/>
  <c r="P322" i="4" s="1"/>
  <c r="P323" i="4" s="1"/>
  <c r="P324" i="4" s="1"/>
  <c r="P325" i="4" s="1"/>
  <c r="P326" i="4" s="1"/>
  <c r="P327" i="4" s="1"/>
  <c r="P328" i="4" s="1"/>
  <c r="P329" i="4" s="1"/>
  <c r="P330" i="4" s="1"/>
  <c r="S320" i="4" s="1"/>
  <c r="S321" i="4" s="1"/>
  <c r="S322" i="4" s="1"/>
  <c r="S323" i="4" s="1"/>
  <c r="S324" i="4" s="1"/>
  <c r="S325" i="4" s="1"/>
  <c r="S326" i="4" s="1"/>
  <c r="S327" i="4" s="1"/>
  <c r="S328" i="4" s="1"/>
  <c r="S329" i="4" s="1"/>
  <c r="S330" i="4" s="1"/>
  <c r="V320" i="4" s="1"/>
  <c r="V321" i="4" s="1"/>
  <c r="V322" i="4" s="1"/>
  <c r="V323" i="4" s="1"/>
  <c r="V324" i="4" s="1"/>
  <c r="V325" i="4" s="1"/>
  <c r="V326" i="4" s="1"/>
  <c r="V327" i="4" s="1"/>
  <c r="V328" i="4" s="1"/>
  <c r="V329" i="4" s="1"/>
  <c r="V330" i="4" s="1"/>
  <c r="D332" i="4" s="1"/>
  <c r="D333" i="4" s="1"/>
  <c r="D334" i="4" s="1"/>
  <c r="D335" i="4" s="1"/>
  <c r="D336" i="4" s="1"/>
  <c r="D337" i="4" s="1"/>
  <c r="D338" i="4" s="1"/>
  <c r="D339" i="4" s="1"/>
  <c r="D340" i="4" s="1"/>
  <c r="D341" i="4" s="1"/>
  <c r="D342" i="4" s="1"/>
  <c r="G332" i="4" s="1"/>
  <c r="G333" i="4" s="1"/>
  <c r="G334" i="4" s="1"/>
  <c r="G335" i="4" s="1"/>
  <c r="G336" i="4" s="1"/>
  <c r="G337" i="4" s="1"/>
  <c r="G338" i="4" s="1"/>
  <c r="G339" i="4" s="1"/>
  <c r="G340" i="4" s="1"/>
  <c r="G341" i="4" s="1"/>
  <c r="G342" i="4" s="1"/>
  <c r="J332" i="4" s="1"/>
  <c r="J333" i="4" s="1"/>
  <c r="J334" i="4" s="1"/>
  <c r="J335" i="4" s="1"/>
  <c r="J336" i="4" s="1"/>
  <c r="J337" i="4" s="1"/>
  <c r="J338" i="4" s="1"/>
  <c r="J339" i="4" s="1"/>
  <c r="J340" i="4" s="1"/>
  <c r="J341" i="4" s="1"/>
  <c r="J342" i="4" s="1"/>
  <c r="M332" i="4" s="1"/>
  <c r="M333" i="4" s="1"/>
  <c r="M334" i="4" s="1"/>
  <c r="M335" i="4" s="1"/>
  <c r="M336" i="4" s="1"/>
  <c r="M337" i="4" s="1"/>
  <c r="M338" i="4" s="1"/>
  <c r="M339" i="4" s="1"/>
  <c r="M340" i="4" s="1"/>
  <c r="M341" i="4" s="1"/>
  <c r="M342" i="4" s="1"/>
  <c r="P332" i="4" s="1"/>
  <c r="P333" i="4" s="1"/>
  <c r="P334" i="4" s="1"/>
  <c r="P335" i="4" s="1"/>
  <c r="P336" i="4" s="1"/>
  <c r="P337" i="4" s="1"/>
  <c r="P338" i="4" s="1"/>
  <c r="P339" i="4" s="1"/>
  <c r="P340" i="4" s="1"/>
  <c r="P341" i="4" s="1"/>
  <c r="P342" i="4" s="1"/>
  <c r="S332" i="4" s="1"/>
  <c r="S333" i="4" s="1"/>
  <c r="S334" i="4" s="1"/>
  <c r="S335" i="4" s="1"/>
  <c r="S336" i="4" s="1"/>
  <c r="S337" i="4" s="1"/>
  <c r="S338" i="4" s="1"/>
  <c r="S339" i="4" s="1"/>
  <c r="S340" i="4" s="1"/>
  <c r="S341" i="4" s="1"/>
  <c r="S342" i="4" s="1"/>
  <c r="V332" i="4" s="1"/>
  <c r="V333" i="4" s="1"/>
  <c r="V334" i="4" s="1"/>
  <c r="V335" i="4" s="1"/>
  <c r="V336" i="4" s="1"/>
  <c r="V337" i="4" s="1"/>
  <c r="V338" i="4" s="1"/>
  <c r="V339" i="4" s="1"/>
  <c r="V340" i="4" s="1"/>
  <c r="V341" i="4" s="1"/>
  <c r="V342" i="4" s="1"/>
  <c r="D344" i="4" s="1"/>
  <c r="D345" i="4" s="1"/>
  <c r="D346" i="4" s="1"/>
  <c r="D347" i="4" s="1"/>
  <c r="D348" i="4" s="1"/>
  <c r="D349" i="4" s="1"/>
  <c r="D350" i="4" s="1"/>
  <c r="D351" i="4" s="1"/>
  <c r="D352" i="4" s="1"/>
  <c r="D353" i="4" s="1"/>
  <c r="D354" i="4" s="1"/>
  <c r="G344" i="4" s="1"/>
  <c r="G345" i="4" s="1"/>
  <c r="G346" i="4" s="1"/>
  <c r="G347" i="4" s="1"/>
  <c r="G348" i="4" s="1"/>
  <c r="G349" i="4" s="1"/>
  <c r="G350" i="4" s="1"/>
  <c r="G351" i="4" s="1"/>
  <c r="G352" i="4" s="1"/>
  <c r="G353" i="4" s="1"/>
  <c r="G354" i="4" s="1"/>
  <c r="J344" i="4" s="1"/>
  <c r="J345" i="4" s="1"/>
  <c r="J346" i="4" s="1"/>
  <c r="J347" i="4" s="1"/>
  <c r="J348" i="4" s="1"/>
  <c r="J349" i="4" s="1"/>
  <c r="J350" i="4" s="1"/>
  <c r="J351" i="4" s="1"/>
  <c r="J352" i="4" s="1"/>
  <c r="J353" i="4" s="1"/>
  <c r="J354" i="4" s="1"/>
  <c r="M344" i="4" s="1"/>
  <c r="M345" i="4" s="1"/>
  <c r="M346" i="4" s="1"/>
  <c r="M347" i="4" s="1"/>
  <c r="M348" i="4" s="1"/>
  <c r="M349" i="4" s="1"/>
  <c r="M350" i="4" s="1"/>
  <c r="M351" i="4" s="1"/>
  <c r="M352" i="4" s="1"/>
  <c r="M353" i="4" s="1"/>
  <c r="M354" i="4" s="1"/>
  <c r="P344" i="4" s="1"/>
  <c r="P345" i="4" s="1"/>
  <c r="P346" i="4" s="1"/>
  <c r="P347" i="4" s="1"/>
  <c r="P348" i="4" s="1"/>
  <c r="P349" i="4" s="1"/>
  <c r="P350" i="4" s="1"/>
  <c r="P351" i="4" s="1"/>
  <c r="P352" i="4" s="1"/>
  <c r="P353" i="4" s="1"/>
  <c r="P354" i="4" s="1"/>
  <c r="S344" i="4" s="1"/>
  <c r="S345" i="4" s="1"/>
  <c r="S346" i="4" s="1"/>
  <c r="S347" i="4" s="1"/>
  <c r="S348" i="4" s="1"/>
  <c r="S349" i="4" s="1"/>
  <c r="S350" i="4" s="1"/>
  <c r="S351" i="4" s="1"/>
  <c r="S352" i="4" s="1"/>
  <c r="S353" i="4" s="1"/>
  <c r="S354" i="4" s="1"/>
  <c r="V344" i="4" s="1"/>
  <c r="V345" i="4" s="1"/>
  <c r="V346" i="4" s="1"/>
  <c r="V347" i="4" s="1"/>
  <c r="V348" i="4" s="1"/>
  <c r="V349" i="4" s="1"/>
  <c r="V350" i="4" s="1"/>
  <c r="V351" i="4" s="1"/>
  <c r="V352" i="4" s="1"/>
  <c r="V353" i="4" s="1"/>
  <c r="V354" i="4" s="1"/>
  <c r="D356" i="4" s="1"/>
  <c r="D357" i="4" s="1"/>
  <c r="D358" i="4" s="1"/>
  <c r="D359" i="4" s="1"/>
  <c r="D360" i="4" s="1"/>
  <c r="D361" i="4" s="1"/>
  <c r="D362" i="4" s="1"/>
  <c r="D363" i="4" s="1"/>
  <c r="D364" i="4" s="1"/>
  <c r="D365" i="4" s="1"/>
  <c r="D366" i="4" s="1"/>
  <c r="G356" i="4" s="1"/>
  <c r="G357" i="4" s="1"/>
  <c r="G358" i="4" s="1"/>
  <c r="G359" i="4" s="1"/>
  <c r="G360" i="4" s="1"/>
  <c r="G361" i="4" s="1"/>
  <c r="G362" i="4" s="1"/>
  <c r="G363" i="4" s="1"/>
  <c r="G364" i="4" s="1"/>
  <c r="G365" i="4" s="1"/>
  <c r="G366" i="4" s="1"/>
  <c r="J356" i="4" s="1"/>
  <c r="J357" i="4" s="1"/>
  <c r="J358" i="4" s="1"/>
  <c r="J359" i="4" s="1"/>
  <c r="J360" i="4" s="1"/>
  <c r="J361" i="4" s="1"/>
  <c r="J362" i="4" s="1"/>
  <c r="J363" i="4" s="1"/>
  <c r="J364" i="4" s="1"/>
  <c r="J365" i="4" s="1"/>
  <c r="J366" i="4" s="1"/>
  <c r="M356" i="4" s="1"/>
  <c r="M357" i="4" s="1"/>
  <c r="M358" i="4" s="1"/>
  <c r="M359" i="4" s="1"/>
  <c r="M360" i="4" s="1"/>
  <c r="M361" i="4" s="1"/>
  <c r="M362" i="4" s="1"/>
  <c r="M363" i="4" s="1"/>
  <c r="M364" i="4" s="1"/>
  <c r="M365" i="4" s="1"/>
  <c r="M366" i="4" s="1"/>
  <c r="P356" i="4" s="1"/>
  <c r="P357" i="4" s="1"/>
  <c r="P358" i="4" s="1"/>
  <c r="P359" i="4" s="1"/>
  <c r="P360" i="4" s="1"/>
  <c r="P361" i="4" s="1"/>
  <c r="P362" i="4" s="1"/>
  <c r="P363" i="4" s="1"/>
  <c r="P364" i="4" s="1"/>
  <c r="P365" i="4" s="1"/>
  <c r="P366" i="4" s="1"/>
  <c r="S356" i="4" s="1"/>
  <c r="S357" i="4" s="1"/>
  <c r="S358" i="4" s="1"/>
  <c r="S359" i="4" s="1"/>
  <c r="S360" i="4" s="1"/>
  <c r="S361" i="4" s="1"/>
  <c r="S362" i="4" s="1"/>
  <c r="S363" i="4" s="1"/>
  <c r="S364" i="4" s="1"/>
  <c r="S365" i="4" s="1"/>
  <c r="S366" i="4" s="1"/>
  <c r="V356" i="4" s="1"/>
  <c r="V357" i="4" s="1"/>
  <c r="V358" i="4" s="1"/>
  <c r="V359" i="4" s="1"/>
  <c r="V360" i="4" s="1"/>
  <c r="V361" i="4" s="1"/>
  <c r="V362" i="4" s="1"/>
  <c r="V363" i="4" s="1"/>
  <c r="V364" i="4" s="1"/>
  <c r="V365" i="4" s="1"/>
  <c r="V366" i="4" s="1"/>
  <c r="D368" i="4" s="1"/>
  <c r="D369" i="4" s="1"/>
  <c r="D370" i="4" s="1"/>
  <c r="D371" i="4" s="1"/>
  <c r="D372" i="4" s="1"/>
  <c r="D373" i="4" s="1"/>
  <c r="D374" i="4" s="1"/>
  <c r="D375" i="4" s="1"/>
  <c r="D376" i="4" s="1"/>
  <c r="D377" i="4" s="1"/>
  <c r="D378" i="4" s="1"/>
  <c r="G368" i="4" s="1"/>
  <c r="G369" i="4" s="1"/>
  <c r="G370" i="4" s="1"/>
  <c r="G371" i="4" s="1"/>
  <c r="G372" i="4" s="1"/>
  <c r="G373" i="4" s="1"/>
  <c r="G374" i="4" s="1"/>
  <c r="G375" i="4" s="1"/>
  <c r="G376" i="4" s="1"/>
  <c r="G377" i="4" s="1"/>
  <c r="G378" i="4" s="1"/>
  <c r="J368" i="4" s="1"/>
  <c r="J369" i="4" s="1"/>
  <c r="J370" i="4" s="1"/>
  <c r="J371" i="4" s="1"/>
  <c r="J372" i="4" s="1"/>
  <c r="J373" i="4" s="1"/>
  <c r="J374" i="4" s="1"/>
  <c r="J375" i="4" s="1"/>
  <c r="J376" i="4" s="1"/>
  <c r="J377" i="4" s="1"/>
  <c r="J378" i="4" s="1"/>
  <c r="M368" i="4" s="1"/>
  <c r="M369" i="4" s="1"/>
  <c r="M370" i="4" s="1"/>
  <c r="M371" i="4" s="1"/>
  <c r="M372" i="4" s="1"/>
  <c r="M373" i="4" s="1"/>
  <c r="M374" i="4" s="1"/>
  <c r="M375" i="4" s="1"/>
  <c r="M376" i="4" s="1"/>
  <c r="M377" i="4" s="1"/>
  <c r="M378" i="4" s="1"/>
  <c r="P368" i="4" s="1"/>
  <c r="P369" i="4" s="1"/>
  <c r="P370" i="4" s="1"/>
  <c r="P371" i="4" s="1"/>
  <c r="P372" i="4" s="1"/>
  <c r="P373" i="4" s="1"/>
  <c r="P374" i="4" s="1"/>
  <c r="P375" i="4" s="1"/>
  <c r="P376" i="4" s="1"/>
  <c r="P377" i="4" s="1"/>
  <c r="P378" i="4" s="1"/>
  <c r="S368" i="4" s="1"/>
  <c r="S369" i="4" s="1"/>
  <c r="S370" i="4" s="1"/>
  <c r="S371" i="4" s="1"/>
  <c r="S372" i="4" s="1"/>
  <c r="S373" i="4" s="1"/>
  <c r="S374" i="4" s="1"/>
  <c r="S375" i="4" s="1"/>
  <c r="S376" i="4" s="1"/>
  <c r="S377" i="4" s="1"/>
  <c r="S378" i="4" s="1"/>
  <c r="V368" i="4" s="1"/>
  <c r="V369" i="4" s="1"/>
  <c r="V370" i="4" s="1"/>
  <c r="V371" i="4" s="1"/>
  <c r="V372" i="4" s="1"/>
  <c r="V373" i="4" s="1"/>
  <c r="V374" i="4" s="1"/>
  <c r="V375" i="4" s="1"/>
  <c r="V376" i="4" s="1"/>
  <c r="V377" i="4" s="1"/>
  <c r="V378" i="4" s="1"/>
  <c r="D380" i="4" s="1"/>
  <c r="D381" i="4" s="1"/>
  <c r="D382" i="4" s="1"/>
  <c r="D383" i="4" s="1"/>
  <c r="D384" i="4" s="1"/>
  <c r="D385" i="4" s="1"/>
  <c r="D386" i="4" s="1"/>
  <c r="D387" i="4" s="1"/>
  <c r="D388" i="4" s="1"/>
  <c r="D389" i="4" s="1"/>
  <c r="D390" i="4" s="1"/>
  <c r="G380" i="4" s="1"/>
  <c r="G381" i="4" s="1"/>
  <c r="G382" i="4" s="1"/>
  <c r="G383" i="4" s="1"/>
  <c r="G384" i="4" s="1"/>
  <c r="G385" i="4" s="1"/>
  <c r="G386" i="4" s="1"/>
  <c r="G387" i="4" s="1"/>
  <c r="G388" i="4" s="1"/>
  <c r="G389" i="4" s="1"/>
  <c r="G390" i="4" s="1"/>
  <c r="J380" i="4" s="1"/>
  <c r="J381" i="4" s="1"/>
  <c r="J382" i="4" s="1"/>
  <c r="J383" i="4" s="1"/>
  <c r="J384" i="4" s="1"/>
  <c r="J385" i="4" s="1"/>
  <c r="J386" i="4" s="1"/>
  <c r="J387" i="4" s="1"/>
  <c r="J388" i="4" s="1"/>
  <c r="J389" i="4" s="1"/>
  <c r="J390" i="4" s="1"/>
  <c r="M380" i="4" s="1"/>
  <c r="M381" i="4" s="1"/>
  <c r="M382" i="4" s="1"/>
  <c r="M383" i="4" s="1"/>
  <c r="M384" i="4" s="1"/>
  <c r="M385" i="4" s="1"/>
  <c r="M386" i="4" s="1"/>
  <c r="M387" i="4" s="1"/>
  <c r="M388" i="4" s="1"/>
  <c r="M389" i="4" s="1"/>
  <c r="M390" i="4" s="1"/>
  <c r="P380" i="4" s="1"/>
  <c r="P381" i="4" s="1"/>
  <c r="P382" i="4" s="1"/>
  <c r="P383" i="4" s="1"/>
  <c r="P384" i="4" s="1"/>
  <c r="P385" i="4" s="1"/>
  <c r="P386" i="4" s="1"/>
  <c r="P387" i="4" s="1"/>
  <c r="P388" i="4" s="1"/>
  <c r="P389" i="4" s="1"/>
  <c r="P390" i="4" s="1"/>
  <c r="S380" i="4" s="1"/>
  <c r="S381" i="4" s="1"/>
  <c r="S382" i="4" s="1"/>
  <c r="S383" i="4" s="1"/>
  <c r="S384" i="4" s="1"/>
  <c r="S385" i="4" s="1"/>
  <c r="S386" i="4" s="1"/>
  <c r="S387" i="4" s="1"/>
  <c r="S388" i="4" s="1"/>
  <c r="S389" i="4" s="1"/>
  <c r="S390" i="4" s="1"/>
  <c r="V380" i="4" s="1"/>
  <c r="V381" i="4" s="1"/>
  <c r="V382" i="4" s="1"/>
  <c r="V383" i="4" s="1"/>
  <c r="V384" i="4" s="1"/>
  <c r="V385" i="4" s="1"/>
  <c r="V386" i="4" s="1"/>
  <c r="V387" i="4" s="1"/>
  <c r="V388" i="4" s="1"/>
  <c r="V389" i="4" s="1"/>
  <c r="V390" i="4" s="1"/>
  <c r="D392" i="4" s="1"/>
  <c r="D393" i="4" s="1"/>
  <c r="D394" i="4" s="1"/>
  <c r="D395" i="4" s="1"/>
  <c r="D396" i="4" s="1"/>
  <c r="D397" i="4" s="1"/>
  <c r="D398" i="4" s="1"/>
  <c r="D399" i="4" s="1"/>
  <c r="D400" i="4" s="1"/>
  <c r="D401" i="4" s="1"/>
  <c r="D402" i="4" s="1"/>
  <c r="G392" i="4" s="1"/>
  <c r="G393" i="4" s="1"/>
  <c r="G394" i="4" s="1"/>
  <c r="G395" i="4" s="1"/>
  <c r="G396" i="4" s="1"/>
  <c r="G397" i="4" s="1"/>
  <c r="G398" i="4" s="1"/>
  <c r="G399" i="4" s="1"/>
  <c r="G400" i="4" s="1"/>
  <c r="G401" i="4" s="1"/>
  <c r="G402" i="4" s="1"/>
  <c r="J392" i="4" s="1"/>
  <c r="J393" i="4" s="1"/>
  <c r="J394" i="4" s="1"/>
  <c r="J395" i="4" s="1"/>
  <c r="J396" i="4" s="1"/>
  <c r="J397" i="4" s="1"/>
  <c r="J398" i="4" s="1"/>
  <c r="J399" i="4" s="1"/>
  <c r="J400" i="4" s="1"/>
  <c r="J401" i="4" s="1"/>
  <c r="J402" i="4" s="1"/>
  <c r="M392" i="4" s="1"/>
  <c r="M393" i="4" s="1"/>
  <c r="M394" i="4" s="1"/>
  <c r="M395" i="4" s="1"/>
  <c r="M396" i="4" s="1"/>
  <c r="M397" i="4" s="1"/>
  <c r="M398" i="4" s="1"/>
  <c r="M399" i="4" s="1"/>
  <c r="M400" i="4" s="1"/>
  <c r="M401" i="4" s="1"/>
  <c r="M402" i="4" s="1"/>
  <c r="P392" i="4" s="1"/>
  <c r="P393" i="4" s="1"/>
  <c r="P394" i="4" s="1"/>
  <c r="P395" i="4" s="1"/>
  <c r="P396" i="4" s="1"/>
  <c r="P397" i="4" s="1"/>
  <c r="P398" i="4" s="1"/>
  <c r="P399" i="4" s="1"/>
  <c r="P400" i="4" s="1"/>
  <c r="P401" i="4" s="1"/>
  <c r="P402" i="4" s="1"/>
  <c r="S392" i="4" s="1"/>
  <c r="S393" i="4" s="1"/>
  <c r="S394" i="4" s="1"/>
  <c r="S395" i="4" s="1"/>
  <c r="S396" i="4" s="1"/>
  <c r="S397" i="4" s="1"/>
  <c r="S398" i="4" s="1"/>
  <c r="S399" i="4" s="1"/>
  <c r="S400" i="4" s="1"/>
  <c r="S401" i="4" s="1"/>
  <c r="S402" i="4" s="1"/>
  <c r="V392" i="4" s="1"/>
  <c r="V393" i="4" s="1"/>
  <c r="V394" i="4" s="1"/>
  <c r="V395" i="4" s="1"/>
  <c r="V396" i="4" s="1"/>
  <c r="V397" i="4" s="1"/>
  <c r="V398" i="4" s="1"/>
  <c r="V399" i="4" s="1"/>
  <c r="V400" i="4" s="1"/>
  <c r="V401" i="4" s="1"/>
  <c r="V402" i="4" s="1"/>
  <c r="D404" i="4" s="1"/>
  <c r="D405" i="4" s="1"/>
  <c r="D406" i="4" s="1"/>
  <c r="D407" i="4" s="1"/>
  <c r="D408" i="4" s="1"/>
  <c r="D409" i="4" s="1"/>
  <c r="D410" i="4" s="1"/>
  <c r="D411" i="4" s="1"/>
  <c r="D412" i="4" s="1"/>
  <c r="D413" i="4" s="1"/>
  <c r="D414" i="4" s="1"/>
  <c r="G404" i="4" s="1"/>
  <c r="G405" i="4" s="1"/>
  <c r="G406" i="4" s="1"/>
  <c r="G407" i="4" s="1"/>
  <c r="G408" i="4" s="1"/>
  <c r="G409" i="4" s="1"/>
  <c r="G410" i="4" s="1"/>
  <c r="G411" i="4" s="1"/>
  <c r="G412" i="4" s="1"/>
  <c r="G413" i="4" s="1"/>
  <c r="G414" i="4" s="1"/>
  <c r="J404" i="4" s="1"/>
  <c r="J405" i="4" s="1"/>
  <c r="J406" i="4" s="1"/>
  <c r="J407" i="4" s="1"/>
  <c r="J408" i="4" s="1"/>
  <c r="J409" i="4" s="1"/>
  <c r="J410" i="4" s="1"/>
  <c r="J411" i="4" s="1"/>
  <c r="J412" i="4" s="1"/>
  <c r="J413" i="4" s="1"/>
  <c r="J414" i="4" s="1"/>
  <c r="M404" i="4" s="1"/>
  <c r="M405" i="4" s="1"/>
  <c r="M406" i="4" s="1"/>
  <c r="M407" i="4" s="1"/>
  <c r="M408" i="4" s="1"/>
  <c r="M409" i="4" s="1"/>
  <c r="M410" i="4" s="1"/>
  <c r="M411" i="4" s="1"/>
  <c r="M412" i="4" s="1"/>
  <c r="M413" i="4" s="1"/>
  <c r="M414" i="4" s="1"/>
  <c r="P404" i="4" s="1"/>
  <c r="P405" i="4" s="1"/>
  <c r="P406" i="4" s="1"/>
  <c r="P407" i="4" s="1"/>
  <c r="P408" i="4" s="1"/>
  <c r="P409" i="4" s="1"/>
  <c r="P410" i="4" s="1"/>
  <c r="P411" i="4" s="1"/>
  <c r="P412" i="4" s="1"/>
  <c r="P413" i="4" s="1"/>
  <c r="P414" i="4" s="1"/>
  <c r="S404" i="4" s="1"/>
  <c r="S405" i="4" s="1"/>
  <c r="S406" i="4" s="1"/>
  <c r="S407" i="4" s="1"/>
  <c r="S408" i="4" s="1"/>
  <c r="S409" i="4" s="1"/>
  <c r="S410" i="4" s="1"/>
  <c r="S411" i="4" s="1"/>
  <c r="S412" i="4" s="1"/>
  <c r="S413" i="4" s="1"/>
  <c r="S414" i="4" s="1"/>
  <c r="V404" i="4" s="1"/>
  <c r="V405" i="4" s="1"/>
  <c r="V406" i="4" s="1"/>
  <c r="V407" i="4" s="1"/>
  <c r="V408" i="4" s="1"/>
  <c r="V409" i="4" s="1"/>
  <c r="V410" i="4" s="1"/>
  <c r="V411" i="4" s="1"/>
  <c r="V412" i="4" s="1"/>
  <c r="V413" i="4" s="1"/>
  <c r="V414" i="4" s="1"/>
  <c r="D416" i="4" s="1"/>
  <c r="D417" i="4" s="1"/>
  <c r="D418" i="4" s="1"/>
  <c r="D419" i="4" s="1"/>
  <c r="D420" i="4" s="1"/>
  <c r="D421" i="4" s="1"/>
  <c r="D422" i="4" s="1"/>
  <c r="D423" i="4" s="1"/>
  <c r="D424" i="4" s="1"/>
  <c r="D425" i="4" s="1"/>
  <c r="D426" i="4" s="1"/>
  <c r="G416" i="4" s="1"/>
  <c r="G417" i="4" s="1"/>
  <c r="G418" i="4" s="1"/>
  <c r="G419" i="4" s="1"/>
  <c r="G420" i="4" s="1"/>
  <c r="G421" i="4" s="1"/>
  <c r="G422" i="4" s="1"/>
  <c r="G423" i="4" s="1"/>
  <c r="G424" i="4" s="1"/>
  <c r="G425" i="4" s="1"/>
  <c r="G426" i="4" s="1"/>
  <c r="J416" i="4" s="1"/>
  <c r="J417" i="4" s="1"/>
  <c r="J418" i="4" s="1"/>
  <c r="J419" i="4" s="1"/>
  <c r="J420" i="4" s="1"/>
  <c r="J421" i="4" s="1"/>
  <c r="J422" i="4" s="1"/>
  <c r="J423" i="4" s="1"/>
  <c r="J424" i="4" s="1"/>
  <c r="J425" i="4" s="1"/>
  <c r="J426" i="4" s="1"/>
  <c r="M416" i="4" s="1"/>
  <c r="M417" i="4" s="1"/>
  <c r="M418" i="4" s="1"/>
  <c r="M419" i="4" s="1"/>
  <c r="M420" i="4" s="1"/>
  <c r="M421" i="4" s="1"/>
  <c r="M422" i="4" s="1"/>
  <c r="M423" i="4" s="1"/>
  <c r="M424" i="4" s="1"/>
  <c r="M425" i="4" s="1"/>
  <c r="M426" i="4" s="1"/>
  <c r="P416" i="4" s="1"/>
  <c r="P417" i="4" s="1"/>
  <c r="P418" i="4" s="1"/>
  <c r="P419" i="4" s="1"/>
  <c r="P420" i="4" s="1"/>
  <c r="P421" i="4" s="1"/>
  <c r="P422" i="4" s="1"/>
  <c r="P423" i="4" s="1"/>
  <c r="P424" i="4" s="1"/>
  <c r="P425" i="4" s="1"/>
  <c r="P426" i="4" s="1"/>
  <c r="S416" i="4" s="1"/>
  <c r="S417" i="4" s="1"/>
  <c r="S418" i="4" s="1"/>
  <c r="S419" i="4" s="1"/>
  <c r="S420" i="4" s="1"/>
  <c r="S421" i="4" s="1"/>
  <c r="S422" i="4" s="1"/>
  <c r="S423" i="4" s="1"/>
  <c r="S424" i="4" s="1"/>
  <c r="S425" i="4" s="1"/>
  <c r="S426" i="4" s="1"/>
  <c r="V416" i="4" s="1"/>
  <c r="V417" i="4" s="1"/>
  <c r="V418" i="4" s="1"/>
  <c r="V419" i="4" s="1"/>
  <c r="V420" i="4" s="1"/>
  <c r="V421" i="4" s="1"/>
  <c r="V422" i="4" s="1"/>
  <c r="V423" i="4" s="1"/>
  <c r="V424" i="4" s="1"/>
  <c r="V425" i="4" s="1"/>
  <c r="V426" i="4" s="1"/>
  <c r="D428" i="4" s="1"/>
  <c r="D429" i="4" s="1"/>
  <c r="D430" i="4" s="1"/>
  <c r="D431" i="4" s="1"/>
  <c r="D432" i="4" s="1"/>
  <c r="D433" i="4" s="1"/>
  <c r="D434" i="4" s="1"/>
  <c r="D435" i="4" s="1"/>
  <c r="D436" i="4" s="1"/>
  <c r="D437" i="4" s="1"/>
  <c r="D438" i="4" s="1"/>
  <c r="G428" i="4" s="1"/>
  <c r="G429" i="4" s="1"/>
  <c r="G430" i="4" s="1"/>
  <c r="G431" i="4" s="1"/>
  <c r="G432" i="4" s="1"/>
  <c r="G433" i="4" s="1"/>
  <c r="G434" i="4" s="1"/>
  <c r="G435" i="4" s="1"/>
  <c r="G436" i="4" s="1"/>
  <c r="G437" i="4" s="1"/>
  <c r="G438" i="4" s="1"/>
  <c r="J428" i="4" s="1"/>
  <c r="J429" i="4" s="1"/>
  <c r="J430" i="4" s="1"/>
  <c r="J431" i="4" s="1"/>
  <c r="J432" i="4" s="1"/>
  <c r="J433" i="4" s="1"/>
  <c r="J434" i="4" s="1"/>
  <c r="J435" i="4" s="1"/>
  <c r="J436" i="4" s="1"/>
  <c r="J437" i="4" s="1"/>
  <c r="J438" i="4" s="1"/>
  <c r="M428" i="4" s="1"/>
  <c r="M429" i="4" s="1"/>
  <c r="M430" i="4" s="1"/>
  <c r="M431" i="4" s="1"/>
  <c r="M432" i="4" s="1"/>
  <c r="M433" i="4" s="1"/>
  <c r="M434" i="4" s="1"/>
  <c r="M435" i="4" s="1"/>
  <c r="M436" i="4" s="1"/>
  <c r="M437" i="4" s="1"/>
  <c r="M438" i="4" s="1"/>
  <c r="P428" i="4" s="1"/>
  <c r="P429" i="4" s="1"/>
  <c r="P430" i="4" s="1"/>
  <c r="P431" i="4" s="1"/>
  <c r="P432" i="4" s="1"/>
  <c r="P433" i="4" s="1"/>
  <c r="P434" i="4" s="1"/>
  <c r="P435" i="4" s="1"/>
  <c r="P436" i="4" s="1"/>
  <c r="P437" i="4" s="1"/>
  <c r="P438" i="4" s="1"/>
  <c r="S428" i="4" s="1"/>
  <c r="S429" i="4" s="1"/>
  <c r="S430" i="4" s="1"/>
  <c r="S431" i="4" s="1"/>
  <c r="S432" i="4" s="1"/>
  <c r="S433" i="4" s="1"/>
  <c r="S434" i="4" s="1"/>
  <c r="S435" i="4" s="1"/>
  <c r="S436" i="4" s="1"/>
  <c r="S437" i="4" s="1"/>
  <c r="S438" i="4" s="1"/>
  <c r="V428" i="4" s="1"/>
  <c r="V429" i="4" s="1"/>
  <c r="V430" i="4" s="1"/>
  <c r="V431" i="4" s="1"/>
  <c r="V432" i="4" s="1"/>
  <c r="V433" i="4" s="1"/>
  <c r="V434" i="4" s="1"/>
  <c r="V435" i="4" s="1"/>
  <c r="V436" i="4" s="1"/>
  <c r="V437" i="4" s="1"/>
  <c r="V438" i="4" s="1"/>
  <c r="D440" i="4" s="1"/>
  <c r="D441" i="4" s="1"/>
  <c r="D442" i="4" s="1"/>
  <c r="D443" i="4" s="1"/>
  <c r="D444" i="4" s="1"/>
  <c r="D445" i="4" s="1"/>
  <c r="D446" i="4" s="1"/>
  <c r="D447" i="4" s="1"/>
  <c r="D448" i="4" s="1"/>
  <c r="D449" i="4" s="1"/>
  <c r="D450" i="4" s="1"/>
  <c r="G440" i="4" s="1"/>
  <c r="G441" i="4" s="1"/>
  <c r="G442" i="4" s="1"/>
  <c r="G443" i="4" s="1"/>
  <c r="G444" i="4" s="1"/>
  <c r="G445" i="4" s="1"/>
  <c r="G446" i="4" s="1"/>
  <c r="G447" i="4" s="1"/>
  <c r="G448" i="4" s="1"/>
  <c r="G449" i="4" s="1"/>
  <c r="G450" i="4" s="1"/>
  <c r="J440" i="4" s="1"/>
  <c r="J441" i="4" s="1"/>
  <c r="J442" i="4" s="1"/>
  <c r="J443" i="4" s="1"/>
  <c r="J444" i="4" s="1"/>
  <c r="J445" i="4" s="1"/>
  <c r="J446" i="4" s="1"/>
  <c r="J447" i="4" s="1"/>
  <c r="J448" i="4" s="1"/>
  <c r="J449" i="4" s="1"/>
  <c r="J450" i="4" s="1"/>
  <c r="M440" i="4" s="1"/>
  <c r="M441" i="4" s="1"/>
  <c r="M442" i="4" s="1"/>
  <c r="M443" i="4" s="1"/>
  <c r="M444" i="4" s="1"/>
  <c r="M445" i="4" s="1"/>
  <c r="M446" i="4" s="1"/>
  <c r="M447" i="4" s="1"/>
  <c r="M448" i="4" s="1"/>
  <c r="M449" i="4" s="1"/>
  <c r="M450" i="4" s="1"/>
  <c r="P440" i="4" s="1"/>
  <c r="P441" i="4" s="1"/>
  <c r="P442" i="4" s="1"/>
  <c r="P443" i="4" s="1"/>
  <c r="P444" i="4" s="1"/>
  <c r="P445" i="4" s="1"/>
  <c r="P446" i="4" s="1"/>
  <c r="P447" i="4" s="1"/>
  <c r="P448" i="4" s="1"/>
  <c r="P449" i="4" s="1"/>
  <c r="P450" i="4" s="1"/>
  <c r="S440" i="4" s="1"/>
  <c r="S441" i="4" s="1"/>
  <c r="S442" i="4" s="1"/>
  <c r="S443" i="4" s="1"/>
  <c r="S444" i="4" s="1"/>
  <c r="S445" i="4" s="1"/>
  <c r="S446" i="4" s="1"/>
  <c r="S447" i="4" s="1"/>
  <c r="S448" i="4" s="1"/>
  <c r="S449" i="4" s="1"/>
  <c r="S450" i="4" s="1"/>
  <c r="V440" i="4" s="1"/>
  <c r="V441" i="4" s="1"/>
  <c r="V442" i="4" s="1"/>
  <c r="V443" i="4" s="1"/>
  <c r="V444" i="4" s="1"/>
  <c r="V445" i="4" s="1"/>
  <c r="V446" i="4" s="1"/>
  <c r="V447" i="4" s="1"/>
  <c r="V448" i="4" s="1"/>
  <c r="V449" i="4" s="1"/>
  <c r="V450" i="4" s="1"/>
  <c r="D452" i="4" s="1"/>
  <c r="D453" i="4" s="1"/>
  <c r="D454" i="4" s="1"/>
  <c r="D455" i="4" s="1"/>
  <c r="D456" i="4" s="1"/>
  <c r="D457" i="4" s="1"/>
  <c r="D458" i="4" s="1"/>
  <c r="D459" i="4" s="1"/>
  <c r="D460" i="4" s="1"/>
  <c r="D461" i="4" s="1"/>
  <c r="D462" i="4" s="1"/>
  <c r="G452" i="4" s="1"/>
  <c r="G453" i="4" s="1"/>
  <c r="G454" i="4" s="1"/>
  <c r="G455" i="4" s="1"/>
  <c r="G456" i="4" s="1"/>
  <c r="G457" i="4" s="1"/>
  <c r="G458" i="4" s="1"/>
  <c r="G459" i="4" s="1"/>
  <c r="G460" i="4" s="1"/>
  <c r="G461" i="4" s="1"/>
  <c r="G462" i="4" s="1"/>
  <c r="J452" i="4" s="1"/>
  <c r="J453" i="4" s="1"/>
  <c r="J454" i="4" s="1"/>
  <c r="J455" i="4" s="1"/>
  <c r="J456" i="4" s="1"/>
  <c r="J457" i="4" s="1"/>
  <c r="J458" i="4" s="1"/>
  <c r="J459" i="4" s="1"/>
  <c r="J460" i="4" s="1"/>
  <c r="J461" i="4" s="1"/>
  <c r="J462" i="4" s="1"/>
  <c r="M452" i="4" s="1"/>
  <c r="M453" i="4" s="1"/>
  <c r="M454" i="4" s="1"/>
  <c r="M455" i="4" s="1"/>
  <c r="M456" i="4" s="1"/>
  <c r="M457" i="4" s="1"/>
  <c r="M458" i="4" s="1"/>
  <c r="M459" i="4" s="1"/>
  <c r="M460" i="4" s="1"/>
  <c r="M461" i="4" s="1"/>
  <c r="M462" i="4" s="1"/>
  <c r="P452" i="4" s="1"/>
  <c r="P453" i="4" s="1"/>
  <c r="P454" i="4" s="1"/>
  <c r="P455" i="4" s="1"/>
  <c r="P456" i="4" s="1"/>
  <c r="P457" i="4" s="1"/>
  <c r="P458" i="4" s="1"/>
  <c r="P459" i="4" s="1"/>
  <c r="P460" i="4" s="1"/>
  <c r="P461" i="4" s="1"/>
  <c r="P462" i="4" s="1"/>
  <c r="S452" i="4" s="1"/>
  <c r="S453" i="4" s="1"/>
  <c r="S454" i="4" s="1"/>
  <c r="S455" i="4" s="1"/>
  <c r="S456" i="4" s="1"/>
  <c r="S457" i="4" s="1"/>
  <c r="S458" i="4" s="1"/>
  <c r="S459" i="4" s="1"/>
  <c r="S460" i="4" s="1"/>
  <c r="S461" i="4" s="1"/>
  <c r="S462" i="4" s="1"/>
  <c r="V452" i="4" s="1"/>
  <c r="V453" i="4" s="1"/>
  <c r="V454" i="4" s="1"/>
  <c r="V455" i="4" s="1"/>
  <c r="V456" i="4" s="1"/>
  <c r="V457" i="4" s="1"/>
  <c r="V458" i="4" s="1"/>
  <c r="V459" i="4" s="1"/>
  <c r="V460" i="4" s="1"/>
  <c r="V461" i="4" s="1"/>
  <c r="V462" i="4" s="1"/>
  <c r="D464" i="4" s="1"/>
  <c r="D465" i="4" s="1"/>
  <c r="D466" i="4" s="1"/>
  <c r="D467" i="4" s="1"/>
  <c r="D468" i="4" s="1"/>
  <c r="D469" i="4" s="1"/>
  <c r="D470" i="4" s="1"/>
  <c r="D471" i="4" s="1"/>
  <c r="D472" i="4" s="1"/>
  <c r="D473" i="4" s="1"/>
  <c r="D474" i="4" s="1"/>
  <c r="G464" i="4" s="1"/>
  <c r="G465" i="4" s="1"/>
  <c r="G466" i="4" s="1"/>
  <c r="G467" i="4" s="1"/>
  <c r="G468" i="4" s="1"/>
  <c r="G469" i="4" s="1"/>
  <c r="G470" i="4" s="1"/>
  <c r="G471" i="4" s="1"/>
  <c r="G472" i="4" s="1"/>
  <c r="G473" i="4" s="1"/>
  <c r="G474" i="4" s="1"/>
  <c r="J464" i="4" s="1"/>
  <c r="J465" i="4" s="1"/>
  <c r="J466" i="4" s="1"/>
  <c r="J467" i="4" s="1"/>
  <c r="J468" i="4" s="1"/>
  <c r="J469" i="4" s="1"/>
  <c r="J470" i="4" s="1"/>
  <c r="J471" i="4" s="1"/>
  <c r="J472" i="4" s="1"/>
  <c r="J473" i="4" s="1"/>
  <c r="J474" i="4" s="1"/>
  <c r="M464" i="4" s="1"/>
  <c r="M465" i="4" s="1"/>
  <c r="M466" i="4" s="1"/>
  <c r="M467" i="4" s="1"/>
  <c r="M468" i="4" s="1"/>
  <c r="M469" i="4" s="1"/>
  <c r="M470" i="4" s="1"/>
  <c r="M471" i="4" s="1"/>
  <c r="M472" i="4" s="1"/>
  <c r="M473" i="4" s="1"/>
  <c r="M474" i="4" s="1"/>
  <c r="P464" i="4" s="1"/>
  <c r="P465" i="4" s="1"/>
  <c r="P466" i="4" s="1"/>
  <c r="P467" i="4" s="1"/>
  <c r="P468" i="4" s="1"/>
  <c r="P469" i="4" s="1"/>
  <c r="P470" i="4" s="1"/>
  <c r="P471" i="4" s="1"/>
  <c r="P472" i="4" s="1"/>
  <c r="P473" i="4" s="1"/>
  <c r="P474" i="4" s="1"/>
  <c r="S464" i="4" s="1"/>
  <c r="S465" i="4" s="1"/>
  <c r="S466" i="4" s="1"/>
  <c r="S467" i="4" s="1"/>
  <c r="S468" i="4" s="1"/>
  <c r="S469" i="4" s="1"/>
  <c r="S470" i="4" s="1"/>
  <c r="S471" i="4" s="1"/>
  <c r="S472" i="4" s="1"/>
  <c r="S473" i="4" s="1"/>
  <c r="S474" i="4" s="1"/>
  <c r="V464" i="4" s="1"/>
  <c r="V465" i="4" s="1"/>
  <c r="V466" i="4" s="1"/>
  <c r="V467" i="4" s="1"/>
  <c r="V468" i="4" s="1"/>
  <c r="V469" i="4" s="1"/>
  <c r="V470" i="4" s="1"/>
  <c r="V471" i="4" s="1"/>
  <c r="V472" i="4" s="1"/>
  <c r="V473" i="4" s="1"/>
  <c r="V474" i="4" s="1"/>
  <c r="D476" i="4" s="1"/>
  <c r="D477" i="4" s="1"/>
  <c r="D478" i="4" s="1"/>
  <c r="D479" i="4" s="1"/>
  <c r="D480" i="4" s="1"/>
  <c r="D481" i="4" s="1"/>
  <c r="D482" i="4" s="1"/>
  <c r="D483" i="4" s="1"/>
  <c r="D484" i="4" s="1"/>
  <c r="D485" i="4" s="1"/>
  <c r="D486" i="4" s="1"/>
  <c r="G476" i="4" s="1"/>
  <c r="G477" i="4" s="1"/>
  <c r="G478" i="4" s="1"/>
  <c r="G479" i="4" s="1"/>
  <c r="G480" i="4" s="1"/>
  <c r="G481" i="4" s="1"/>
  <c r="G482" i="4" s="1"/>
  <c r="G483" i="4" s="1"/>
  <c r="G484" i="4" s="1"/>
  <c r="G485" i="4" s="1"/>
  <c r="G486" i="4" s="1"/>
  <c r="J476" i="4" s="1"/>
  <c r="J477" i="4" s="1"/>
  <c r="J478" i="4" s="1"/>
  <c r="J479" i="4" s="1"/>
  <c r="J480" i="4" s="1"/>
  <c r="J481" i="4" s="1"/>
  <c r="J482" i="4" s="1"/>
  <c r="J483" i="4" s="1"/>
  <c r="J484" i="4" s="1"/>
  <c r="J485" i="4" s="1"/>
  <c r="J486" i="4" s="1"/>
  <c r="M476" i="4" s="1"/>
  <c r="M477" i="4" s="1"/>
  <c r="M478" i="4" s="1"/>
  <c r="M479" i="4" s="1"/>
  <c r="M480" i="4" s="1"/>
  <c r="M481" i="4" s="1"/>
  <c r="M482" i="4" s="1"/>
  <c r="M483" i="4" s="1"/>
  <c r="M484" i="4" s="1"/>
  <c r="M485" i="4" s="1"/>
  <c r="M486" i="4" s="1"/>
  <c r="P476" i="4" s="1"/>
  <c r="P477" i="4" s="1"/>
  <c r="P478" i="4" s="1"/>
  <c r="P479" i="4" s="1"/>
  <c r="P480" i="4" s="1"/>
  <c r="P481" i="4" s="1"/>
  <c r="P482" i="4" s="1"/>
  <c r="P483" i="4" s="1"/>
  <c r="P484" i="4" s="1"/>
  <c r="P485" i="4" s="1"/>
  <c r="P486" i="4" s="1"/>
  <c r="S476" i="4" s="1"/>
  <c r="S477" i="4" s="1"/>
  <c r="S478" i="4" s="1"/>
  <c r="S479" i="4" s="1"/>
  <c r="S480" i="4" s="1"/>
  <c r="S481" i="4" s="1"/>
  <c r="S482" i="4" s="1"/>
  <c r="S483" i="4" s="1"/>
  <c r="S484" i="4" s="1"/>
  <c r="S485" i="4" s="1"/>
  <c r="S486" i="4" s="1"/>
  <c r="V476" i="4" s="1"/>
  <c r="V477" i="4" s="1"/>
  <c r="V478" i="4" s="1"/>
  <c r="V479" i="4" s="1"/>
  <c r="V480" i="4" s="1"/>
  <c r="V481" i="4" s="1"/>
  <c r="V482" i="4" s="1"/>
  <c r="V483" i="4" s="1"/>
  <c r="V484" i="4" s="1"/>
  <c r="V485" i="4" s="1"/>
  <c r="V486" i="4" s="1"/>
  <c r="D488" i="4" s="1"/>
  <c r="D489" i="4" s="1"/>
  <c r="D490" i="4" s="1"/>
  <c r="D491" i="4" s="1"/>
  <c r="D492" i="4" s="1"/>
  <c r="D493" i="4" s="1"/>
  <c r="D494" i="4" s="1"/>
  <c r="D495" i="4" s="1"/>
  <c r="D496" i="4" s="1"/>
  <c r="D497" i="4" s="1"/>
  <c r="D498" i="4" s="1"/>
  <c r="G488" i="4" s="1"/>
  <c r="G489" i="4" s="1"/>
  <c r="G490" i="4" s="1"/>
  <c r="G491" i="4" s="1"/>
  <c r="G492" i="4" s="1"/>
  <c r="G493" i="4" s="1"/>
  <c r="G494" i="4" s="1"/>
  <c r="G495" i="4" s="1"/>
  <c r="G496" i="4" s="1"/>
  <c r="G497" i="4" s="1"/>
  <c r="G498" i="4" s="1"/>
  <c r="J488" i="4" s="1"/>
  <c r="J489" i="4" s="1"/>
  <c r="J490" i="4" s="1"/>
  <c r="J491" i="4" s="1"/>
  <c r="J492" i="4" s="1"/>
  <c r="J493" i="4" s="1"/>
  <c r="J494" i="4" s="1"/>
  <c r="J495" i="4" s="1"/>
  <c r="J496" i="4" s="1"/>
  <c r="J497" i="4" s="1"/>
  <c r="J498" i="4" s="1"/>
  <c r="M488" i="4" s="1"/>
  <c r="M489" i="4" s="1"/>
  <c r="M490" i="4" s="1"/>
  <c r="M491" i="4" s="1"/>
  <c r="M492" i="4" s="1"/>
  <c r="M493" i="4" s="1"/>
  <c r="M494" i="4" s="1"/>
  <c r="M495" i="4" s="1"/>
  <c r="M496" i="4" s="1"/>
  <c r="M497" i="4" s="1"/>
  <c r="M498" i="4" s="1"/>
  <c r="P488" i="4" s="1"/>
  <c r="P489" i="4" s="1"/>
  <c r="P490" i="4" s="1"/>
  <c r="P491" i="4" s="1"/>
  <c r="P492" i="4" s="1"/>
  <c r="P493" i="4" s="1"/>
  <c r="P494" i="4" s="1"/>
  <c r="P495" i="4" s="1"/>
  <c r="P496" i="4" s="1"/>
  <c r="P497" i="4" s="1"/>
  <c r="P498" i="4" s="1"/>
  <c r="S488" i="4" s="1"/>
  <c r="S489" i="4" s="1"/>
  <c r="S490" i="4" s="1"/>
  <c r="S491" i="4" s="1"/>
  <c r="S492" i="4" s="1"/>
  <c r="S493" i="4" s="1"/>
  <c r="S494" i="4" s="1"/>
  <c r="S495" i="4" s="1"/>
  <c r="S496" i="4" s="1"/>
  <c r="S497" i="4" s="1"/>
  <c r="S498" i="4" s="1"/>
  <c r="V488" i="4" s="1"/>
  <c r="V489" i="4" s="1"/>
  <c r="V490" i="4" s="1"/>
  <c r="V491" i="4" s="1"/>
  <c r="V492" i="4" s="1"/>
  <c r="V493" i="4" s="1"/>
  <c r="V494" i="4" s="1"/>
  <c r="V495" i="4" s="1"/>
  <c r="V496" i="4" s="1"/>
  <c r="V497" i="4" s="1"/>
  <c r="V498" i="4" s="1"/>
  <c r="D500" i="4" s="1"/>
  <c r="D501" i="4" s="1"/>
  <c r="D502" i="4" s="1"/>
  <c r="D503" i="4" s="1"/>
  <c r="D504" i="4" s="1"/>
  <c r="D505" i="4" s="1"/>
  <c r="D506" i="4" s="1"/>
  <c r="D507" i="4" s="1"/>
  <c r="D508" i="4" s="1"/>
  <c r="D509" i="4" s="1"/>
  <c r="D510" i="4" s="1"/>
  <c r="G500" i="4" s="1"/>
  <c r="G501" i="4" s="1"/>
  <c r="G502" i="4" s="1"/>
  <c r="G503" i="4" s="1"/>
  <c r="G504" i="4" s="1"/>
  <c r="G505" i="4" s="1"/>
  <c r="G506" i="4" s="1"/>
  <c r="G507" i="4" s="1"/>
  <c r="G508" i="4" s="1"/>
  <c r="G509" i="4" s="1"/>
  <c r="G510" i="4" s="1"/>
  <c r="J500" i="4" s="1"/>
  <c r="J501" i="4" s="1"/>
  <c r="J502" i="4" s="1"/>
  <c r="J503" i="4" s="1"/>
  <c r="J504" i="4" s="1"/>
  <c r="J505" i="4" s="1"/>
  <c r="J506" i="4" s="1"/>
  <c r="J507" i="4" s="1"/>
  <c r="J508" i="4" s="1"/>
  <c r="J509" i="4" s="1"/>
  <c r="J510" i="4" s="1"/>
  <c r="M500" i="4" s="1"/>
  <c r="M501" i="4" s="1"/>
  <c r="M502" i="4" s="1"/>
  <c r="M503" i="4" s="1"/>
  <c r="M504" i="4" s="1"/>
  <c r="M505" i="4" s="1"/>
  <c r="M506" i="4" s="1"/>
  <c r="M507" i="4" s="1"/>
  <c r="M508" i="4" s="1"/>
  <c r="M509" i="4" s="1"/>
  <c r="M510" i="4" s="1"/>
  <c r="P500" i="4" s="1"/>
  <c r="P501" i="4" s="1"/>
  <c r="P502" i="4" s="1"/>
  <c r="P503" i="4" s="1"/>
  <c r="P504" i="4" s="1"/>
  <c r="P505" i="4" s="1"/>
  <c r="P506" i="4" s="1"/>
  <c r="P507" i="4" s="1"/>
  <c r="P508" i="4" s="1"/>
  <c r="P509" i="4" s="1"/>
  <c r="P510" i="4" s="1"/>
  <c r="S500" i="4" s="1"/>
  <c r="S501" i="4" s="1"/>
  <c r="S502" i="4" s="1"/>
  <c r="S503" i="4" s="1"/>
  <c r="S504" i="4" s="1"/>
  <c r="S505" i="4" s="1"/>
  <c r="S506" i="4" s="1"/>
  <c r="S507" i="4" s="1"/>
  <c r="S508" i="4" s="1"/>
  <c r="S509" i="4" s="1"/>
  <c r="S510" i="4" s="1"/>
  <c r="V500" i="4" s="1"/>
  <c r="V501" i="4" s="1"/>
  <c r="V502" i="4" s="1"/>
  <c r="V503" i="4" s="1"/>
  <c r="V504" i="4" s="1"/>
  <c r="V505" i="4" s="1"/>
  <c r="V506" i="4" s="1"/>
  <c r="V507" i="4" s="1"/>
  <c r="V508" i="4" s="1"/>
  <c r="V509" i="4" s="1"/>
  <c r="V510" i="4" s="1"/>
  <c r="D512" i="4" s="1"/>
  <c r="D513" i="4" s="1"/>
  <c r="D514" i="4" s="1"/>
  <c r="D515" i="4" s="1"/>
  <c r="D516" i="4" s="1"/>
  <c r="D517" i="4" s="1"/>
  <c r="D518" i="4" s="1"/>
  <c r="D519" i="4" s="1"/>
  <c r="D520" i="4" s="1"/>
  <c r="D521" i="4" s="1"/>
  <c r="D522" i="4" s="1"/>
  <c r="G512" i="4" s="1"/>
  <c r="G513" i="4" s="1"/>
  <c r="G514" i="4" s="1"/>
  <c r="G515" i="4" s="1"/>
  <c r="G516" i="4" s="1"/>
  <c r="G517" i="4" s="1"/>
  <c r="G518" i="4" s="1"/>
  <c r="G519" i="4" s="1"/>
  <c r="G520" i="4" s="1"/>
  <c r="G521" i="4" s="1"/>
  <c r="G522" i="4" s="1"/>
  <c r="J512" i="4" s="1"/>
  <c r="J513" i="4" s="1"/>
  <c r="J514" i="4" s="1"/>
  <c r="J515" i="4" s="1"/>
  <c r="J516" i="4" s="1"/>
  <c r="J517" i="4" s="1"/>
  <c r="J518" i="4" s="1"/>
  <c r="J519" i="4" s="1"/>
  <c r="J520" i="4" s="1"/>
  <c r="J521" i="4" s="1"/>
  <c r="J522" i="4" s="1"/>
  <c r="M512" i="4" s="1"/>
  <c r="M513" i="4" s="1"/>
  <c r="M514" i="4" s="1"/>
  <c r="M515" i="4" s="1"/>
  <c r="M516" i="4" s="1"/>
  <c r="M517" i="4" s="1"/>
  <c r="M518" i="4" s="1"/>
  <c r="M519" i="4" s="1"/>
  <c r="M520" i="4" s="1"/>
  <c r="M521" i="4" s="1"/>
  <c r="M522" i="4" s="1"/>
  <c r="P512" i="4" s="1"/>
  <c r="P513" i="4" s="1"/>
  <c r="P514" i="4" s="1"/>
  <c r="P515" i="4" s="1"/>
  <c r="P516" i="4" s="1"/>
  <c r="P517" i="4" s="1"/>
  <c r="P518" i="4" s="1"/>
  <c r="P519" i="4" s="1"/>
  <c r="P520" i="4" s="1"/>
  <c r="P521" i="4" s="1"/>
  <c r="P522" i="4" s="1"/>
  <c r="S512" i="4" s="1"/>
  <c r="S513" i="4" s="1"/>
  <c r="S514" i="4" s="1"/>
  <c r="S515" i="4" s="1"/>
  <c r="S516" i="4" s="1"/>
  <c r="S517" i="4" s="1"/>
  <c r="S518" i="4" s="1"/>
  <c r="S519" i="4" s="1"/>
  <c r="S520" i="4" s="1"/>
  <c r="S521" i="4" s="1"/>
  <c r="S522" i="4" s="1"/>
  <c r="V512" i="4" s="1"/>
  <c r="V513" i="4" s="1"/>
  <c r="V514" i="4" s="1"/>
  <c r="V515" i="4" s="1"/>
  <c r="V516" i="4" s="1"/>
  <c r="V517" i="4" s="1"/>
  <c r="V518" i="4" s="1"/>
  <c r="V519" i="4" s="1"/>
  <c r="V520" i="4" s="1"/>
  <c r="V521" i="4" s="1"/>
  <c r="V522" i="4" s="1"/>
  <c r="D524" i="4" s="1"/>
  <c r="D525" i="4" s="1"/>
  <c r="D526" i="4" s="1"/>
  <c r="D527" i="4" s="1"/>
  <c r="D528" i="4" s="1"/>
  <c r="D529" i="4" s="1"/>
  <c r="D530" i="4" s="1"/>
  <c r="D531" i="4" s="1"/>
  <c r="D532" i="4" s="1"/>
  <c r="D533" i="4" s="1"/>
  <c r="D534" i="4" s="1"/>
  <c r="G524" i="4" s="1"/>
  <c r="G525" i="4" s="1"/>
  <c r="G526" i="4" s="1"/>
  <c r="G527" i="4" s="1"/>
  <c r="G528" i="4" s="1"/>
  <c r="G529" i="4" s="1"/>
  <c r="G530" i="4" s="1"/>
  <c r="G531" i="4" s="1"/>
  <c r="G532" i="4" s="1"/>
  <c r="G533" i="4" s="1"/>
  <c r="G534" i="4" s="1"/>
  <c r="J524" i="4" s="1"/>
  <c r="J525" i="4" s="1"/>
  <c r="J526" i="4" s="1"/>
  <c r="J527" i="4" s="1"/>
  <c r="J528" i="4" s="1"/>
  <c r="J529" i="4" s="1"/>
  <c r="J530" i="4" s="1"/>
  <c r="J531" i="4" s="1"/>
  <c r="J532" i="4" s="1"/>
  <c r="J533" i="4" s="1"/>
  <c r="J534" i="4" s="1"/>
  <c r="M524" i="4" s="1"/>
  <c r="M525" i="4" s="1"/>
  <c r="M526" i="4" s="1"/>
  <c r="M527" i="4" s="1"/>
  <c r="M528" i="4" s="1"/>
  <c r="M529" i="4" s="1"/>
  <c r="M530" i="4" s="1"/>
  <c r="M531" i="4" s="1"/>
  <c r="M532" i="4" s="1"/>
  <c r="M533" i="4" s="1"/>
  <c r="M534" i="4" s="1"/>
  <c r="P524" i="4" s="1"/>
  <c r="P525" i="4" s="1"/>
  <c r="P526" i="4" s="1"/>
  <c r="P527" i="4" s="1"/>
  <c r="P528" i="4" s="1"/>
  <c r="P529" i="4" s="1"/>
  <c r="P530" i="4" s="1"/>
  <c r="P531" i="4" s="1"/>
  <c r="P532" i="4" s="1"/>
  <c r="P533" i="4" s="1"/>
  <c r="P534" i="4" s="1"/>
  <c r="S524" i="4" s="1"/>
  <c r="S525" i="4" s="1"/>
  <c r="S526" i="4" s="1"/>
  <c r="S527" i="4" s="1"/>
  <c r="S528" i="4" s="1"/>
  <c r="S529" i="4" s="1"/>
  <c r="S530" i="4" s="1"/>
  <c r="S531" i="4" s="1"/>
  <c r="S532" i="4" s="1"/>
  <c r="S533" i="4" s="1"/>
  <c r="S534" i="4" s="1"/>
  <c r="V524" i="4" s="1"/>
  <c r="V525" i="4" s="1"/>
  <c r="V526" i="4" s="1"/>
  <c r="V527" i="4" s="1"/>
  <c r="V528" i="4" s="1"/>
  <c r="V529" i="4" s="1"/>
  <c r="V530" i="4" s="1"/>
  <c r="V531" i="4" s="1"/>
  <c r="V532" i="4" s="1"/>
  <c r="V533" i="4" s="1"/>
  <c r="V534" i="4" s="1"/>
  <c r="D536" i="4" s="1"/>
  <c r="D537" i="4" s="1"/>
  <c r="D538" i="4" s="1"/>
  <c r="D539" i="4" s="1"/>
  <c r="D540" i="4" s="1"/>
  <c r="D541" i="4" s="1"/>
  <c r="D542" i="4" s="1"/>
  <c r="D543" i="4" s="1"/>
  <c r="D544" i="4" s="1"/>
  <c r="D545" i="4" s="1"/>
  <c r="D546" i="4" s="1"/>
  <c r="G536" i="4" s="1"/>
  <c r="G537" i="4" s="1"/>
  <c r="G538" i="4" s="1"/>
  <c r="G539" i="4" s="1"/>
  <c r="G540" i="4" s="1"/>
  <c r="G541" i="4" s="1"/>
  <c r="G542" i="4" s="1"/>
  <c r="G543" i="4" s="1"/>
  <c r="G544" i="4" s="1"/>
  <c r="G545" i="4" s="1"/>
  <c r="G546" i="4" s="1"/>
  <c r="J536" i="4" s="1"/>
  <c r="J537" i="4" s="1"/>
  <c r="J538" i="4" s="1"/>
  <c r="J539" i="4" s="1"/>
  <c r="J540" i="4" s="1"/>
  <c r="J541" i="4" s="1"/>
  <c r="J542" i="4" s="1"/>
  <c r="J543" i="4" s="1"/>
  <c r="J544" i="4" s="1"/>
  <c r="J545" i="4" s="1"/>
  <c r="J546" i="4" s="1"/>
  <c r="M536" i="4" s="1"/>
  <c r="M537" i="4" s="1"/>
  <c r="M538" i="4" s="1"/>
  <c r="M539" i="4" s="1"/>
  <c r="M540" i="4" s="1"/>
  <c r="M541" i="4" s="1"/>
  <c r="M542" i="4" s="1"/>
  <c r="M543" i="4" s="1"/>
  <c r="M544" i="4" s="1"/>
  <c r="M545" i="4" s="1"/>
  <c r="M546" i="4" s="1"/>
  <c r="P536" i="4" s="1"/>
  <c r="P537" i="4" s="1"/>
  <c r="P538" i="4" s="1"/>
  <c r="P539" i="4" s="1"/>
  <c r="P540" i="4" s="1"/>
  <c r="P541" i="4" s="1"/>
  <c r="P542" i="4" s="1"/>
  <c r="P543" i="4" s="1"/>
  <c r="P544" i="4" s="1"/>
  <c r="P545" i="4" s="1"/>
  <c r="P546" i="4" s="1"/>
  <c r="S536" i="4" s="1"/>
  <c r="S537" i="4" s="1"/>
  <c r="S538" i="4" s="1"/>
  <c r="S539" i="4" s="1"/>
  <c r="S540" i="4" s="1"/>
  <c r="S541" i="4" s="1"/>
  <c r="S542" i="4" s="1"/>
  <c r="S543" i="4" s="1"/>
  <c r="S544" i="4" s="1"/>
  <c r="S545" i="4" s="1"/>
  <c r="S546" i="4" s="1"/>
  <c r="V536" i="4" s="1"/>
  <c r="V537" i="4" s="1"/>
  <c r="V538" i="4" s="1"/>
  <c r="V539" i="4" s="1"/>
  <c r="V540" i="4" s="1"/>
  <c r="V541" i="4" s="1"/>
  <c r="V542" i="4" s="1"/>
  <c r="V543" i="4" s="1"/>
  <c r="V544" i="4" s="1"/>
  <c r="V545" i="4" s="1"/>
  <c r="V546" i="4" s="1"/>
  <c r="D548" i="4" s="1"/>
  <c r="D549" i="4" s="1"/>
  <c r="D550" i="4" s="1"/>
  <c r="D551" i="4" s="1"/>
  <c r="D552" i="4" s="1"/>
  <c r="D553" i="4" s="1"/>
  <c r="D554" i="4" s="1"/>
  <c r="D555" i="4" s="1"/>
  <c r="D556" i="4" s="1"/>
  <c r="D557" i="4" s="1"/>
  <c r="D558" i="4" s="1"/>
  <c r="G548" i="4" s="1"/>
  <c r="G549" i="4" s="1"/>
  <c r="G550" i="4" s="1"/>
  <c r="G551" i="4" s="1"/>
  <c r="G552" i="4" s="1"/>
  <c r="G553" i="4" s="1"/>
  <c r="G554" i="4" s="1"/>
  <c r="G555" i="4" s="1"/>
  <c r="G556" i="4" s="1"/>
  <c r="G557" i="4" s="1"/>
  <c r="G558" i="4" s="1"/>
  <c r="J548" i="4" s="1"/>
  <c r="J549" i="4" s="1"/>
  <c r="J550" i="4" s="1"/>
  <c r="J551" i="4" s="1"/>
  <c r="J552" i="4" s="1"/>
  <c r="J553" i="4" s="1"/>
  <c r="J554" i="4" s="1"/>
  <c r="J555" i="4" s="1"/>
  <c r="J556" i="4" s="1"/>
  <c r="J557" i="4" s="1"/>
  <c r="J558" i="4" s="1"/>
  <c r="M548" i="4" s="1"/>
  <c r="M549" i="4" s="1"/>
  <c r="M550" i="4" s="1"/>
  <c r="M551" i="4" s="1"/>
  <c r="M552" i="4" s="1"/>
  <c r="M553" i="4" s="1"/>
  <c r="M554" i="4" s="1"/>
  <c r="M555" i="4" s="1"/>
  <c r="M556" i="4" s="1"/>
  <c r="M557" i="4" s="1"/>
  <c r="M558" i="4" s="1"/>
  <c r="P548" i="4" s="1"/>
  <c r="P549" i="4" s="1"/>
  <c r="P550" i="4" s="1"/>
  <c r="P551" i="4" s="1"/>
  <c r="P552" i="4" s="1"/>
  <c r="P553" i="4" s="1"/>
  <c r="P554" i="4" s="1"/>
  <c r="P555" i="4" s="1"/>
  <c r="P556" i="4" s="1"/>
  <c r="P557" i="4" s="1"/>
  <c r="P558" i="4" s="1"/>
  <c r="S548" i="4" s="1"/>
  <c r="S549" i="4" s="1"/>
  <c r="S550" i="4" s="1"/>
  <c r="S551" i="4" s="1"/>
  <c r="S552" i="4" s="1"/>
  <c r="S553" i="4" s="1"/>
  <c r="S554" i="4" s="1"/>
  <c r="S555" i="4" s="1"/>
  <c r="S556" i="4" s="1"/>
  <c r="S557" i="4" s="1"/>
  <c r="S558" i="4" s="1"/>
  <c r="V548" i="4" s="1"/>
  <c r="V549" i="4" s="1"/>
  <c r="V550" i="4" s="1"/>
  <c r="V551" i="4" s="1"/>
  <c r="V552" i="4" s="1"/>
  <c r="V553" i="4" s="1"/>
  <c r="V554" i="4" s="1"/>
  <c r="V555" i="4" s="1"/>
  <c r="V556" i="4" s="1"/>
  <c r="V557" i="4" s="1"/>
  <c r="V558" i="4" s="1"/>
  <c r="D560" i="4" s="1"/>
  <c r="D561" i="4" s="1"/>
  <c r="D562" i="4" s="1"/>
  <c r="D563" i="4" s="1"/>
  <c r="D564" i="4" s="1"/>
  <c r="D565" i="4" s="1"/>
  <c r="D566" i="4" s="1"/>
  <c r="D567" i="4" s="1"/>
  <c r="D568" i="4" s="1"/>
  <c r="D569" i="4" s="1"/>
  <c r="D570" i="4" s="1"/>
  <c r="G560" i="4" s="1"/>
  <c r="G561" i="4" s="1"/>
  <c r="G562" i="4" s="1"/>
  <c r="G563" i="4" s="1"/>
  <c r="G564" i="4" s="1"/>
  <c r="G565" i="4" s="1"/>
  <c r="G566" i="4" s="1"/>
  <c r="G567" i="4" s="1"/>
  <c r="G568" i="4" s="1"/>
  <c r="G569" i="4" s="1"/>
  <c r="G570" i="4" s="1"/>
  <c r="J560" i="4" s="1"/>
  <c r="J561" i="4" s="1"/>
  <c r="J562" i="4" s="1"/>
  <c r="J563" i="4" s="1"/>
  <c r="J564" i="4" s="1"/>
  <c r="J565" i="4" s="1"/>
  <c r="J566" i="4" s="1"/>
  <c r="J567" i="4" s="1"/>
  <c r="J568" i="4" s="1"/>
  <c r="J569" i="4" s="1"/>
  <c r="J570" i="4" s="1"/>
  <c r="M560" i="4" s="1"/>
  <c r="M561" i="4" s="1"/>
  <c r="M562" i="4" s="1"/>
  <c r="M563" i="4" s="1"/>
  <c r="M564" i="4" s="1"/>
  <c r="M565" i="4" s="1"/>
  <c r="M566" i="4" s="1"/>
  <c r="M567" i="4" s="1"/>
  <c r="M568" i="4" s="1"/>
  <c r="M569" i="4" s="1"/>
  <c r="M570" i="4" s="1"/>
  <c r="P560" i="4" s="1"/>
  <c r="P561" i="4" s="1"/>
  <c r="P562" i="4" s="1"/>
  <c r="P563" i="4" s="1"/>
  <c r="P564" i="4" s="1"/>
  <c r="P565" i="4" s="1"/>
  <c r="P566" i="4" s="1"/>
  <c r="P567" i="4" s="1"/>
  <c r="P568" i="4" s="1"/>
  <c r="P569" i="4" s="1"/>
  <c r="P570" i="4" s="1"/>
  <c r="S560" i="4" s="1"/>
  <c r="S561" i="4" s="1"/>
  <c r="S562" i="4" s="1"/>
  <c r="S563" i="4" s="1"/>
  <c r="S564" i="4" s="1"/>
  <c r="S565" i="4" s="1"/>
  <c r="S566" i="4" s="1"/>
  <c r="S567" i="4" s="1"/>
  <c r="S568" i="4" s="1"/>
  <c r="S569" i="4" s="1"/>
  <c r="S570" i="4" s="1"/>
  <c r="V560" i="4" s="1"/>
  <c r="V561" i="4" s="1"/>
  <c r="V562" i="4" s="1"/>
  <c r="V563" i="4" s="1"/>
  <c r="V564" i="4" s="1"/>
  <c r="V565" i="4" s="1"/>
  <c r="V566" i="4" s="1"/>
  <c r="V567" i="4" s="1"/>
  <c r="V568" i="4" s="1"/>
  <c r="V569" i="4" s="1"/>
  <c r="V570" i="4" s="1"/>
  <c r="D572" i="4" s="1"/>
  <c r="D573" i="4" s="1"/>
  <c r="D574" i="4" s="1"/>
  <c r="D575" i="4" s="1"/>
  <c r="D576" i="4" s="1"/>
  <c r="D577" i="4" s="1"/>
  <c r="D578" i="4" s="1"/>
  <c r="D579" i="4" s="1"/>
  <c r="D580" i="4" s="1"/>
  <c r="D581" i="4" s="1"/>
  <c r="D582" i="4" s="1"/>
  <c r="G572" i="4" s="1"/>
  <c r="G573" i="4" s="1"/>
  <c r="G574" i="4" s="1"/>
  <c r="G575" i="4" s="1"/>
  <c r="G576" i="4" s="1"/>
  <c r="G577" i="4" s="1"/>
  <c r="G578" i="4" s="1"/>
  <c r="G579" i="4" s="1"/>
  <c r="G580" i="4" s="1"/>
  <c r="G581" i="4" s="1"/>
  <c r="G582" i="4" s="1"/>
  <c r="J572" i="4" s="1"/>
  <c r="J573" i="4" s="1"/>
  <c r="J574" i="4" s="1"/>
  <c r="J575" i="4" s="1"/>
  <c r="J576" i="4" s="1"/>
  <c r="J577" i="4" s="1"/>
  <c r="J578" i="4" s="1"/>
  <c r="J579" i="4" s="1"/>
  <c r="J580" i="4" s="1"/>
  <c r="J581" i="4" s="1"/>
  <c r="J582" i="4" s="1"/>
  <c r="M572" i="4" s="1"/>
  <c r="M573" i="4" s="1"/>
  <c r="M574" i="4" s="1"/>
  <c r="M575" i="4" s="1"/>
  <c r="M576" i="4" s="1"/>
  <c r="M577" i="4" s="1"/>
  <c r="M578" i="4" s="1"/>
  <c r="M579" i="4" s="1"/>
  <c r="M580" i="4" s="1"/>
  <c r="M581" i="4" s="1"/>
  <c r="M582" i="4" s="1"/>
  <c r="P572" i="4" s="1"/>
  <c r="P573" i="4" s="1"/>
  <c r="P574" i="4" s="1"/>
  <c r="P575" i="4" s="1"/>
  <c r="P576" i="4" s="1"/>
  <c r="P577" i="4" s="1"/>
  <c r="P578" i="4" s="1"/>
  <c r="P579" i="4" s="1"/>
  <c r="P580" i="4" s="1"/>
  <c r="P581" i="4" s="1"/>
  <c r="P582" i="4" s="1"/>
  <c r="S572" i="4" s="1"/>
  <c r="S573" i="4" s="1"/>
  <c r="S574" i="4" s="1"/>
  <c r="S575" i="4" s="1"/>
  <c r="S576" i="4" s="1"/>
  <c r="S577" i="4" s="1"/>
  <c r="S578" i="4" s="1"/>
  <c r="S579" i="4" s="1"/>
  <c r="S580" i="4" s="1"/>
  <c r="S581" i="4" s="1"/>
  <c r="S582" i="4" s="1"/>
  <c r="V572" i="4" s="1"/>
  <c r="V573" i="4" s="1"/>
  <c r="V574" i="4" s="1"/>
  <c r="V575" i="4" s="1"/>
  <c r="V576" i="4" s="1"/>
  <c r="V577" i="4" s="1"/>
  <c r="V578" i="4" s="1"/>
  <c r="V579" i="4" s="1"/>
  <c r="V580" i="4" s="1"/>
  <c r="V581" i="4" s="1"/>
  <c r="V582" i="4" s="1"/>
  <c r="D584" i="4" s="1"/>
  <c r="D585" i="4" s="1"/>
  <c r="D586" i="4" s="1"/>
  <c r="D587" i="4" s="1"/>
  <c r="D588" i="4" s="1"/>
  <c r="D589" i="4" s="1"/>
  <c r="D590" i="4" s="1"/>
  <c r="D591" i="4" s="1"/>
  <c r="D592" i="4" s="1"/>
  <c r="D593" i="4" s="1"/>
  <c r="D594" i="4" s="1"/>
  <c r="G584" i="4" s="1"/>
  <c r="G585" i="4" s="1"/>
  <c r="G586" i="4" s="1"/>
  <c r="G587" i="4" s="1"/>
  <c r="G588" i="4" s="1"/>
  <c r="G589" i="4" s="1"/>
  <c r="G590" i="4" s="1"/>
  <c r="G591" i="4" s="1"/>
  <c r="G592" i="4" s="1"/>
  <c r="G593" i="4" s="1"/>
  <c r="G594" i="4" s="1"/>
  <c r="J584" i="4" s="1"/>
  <c r="J585" i="4" s="1"/>
  <c r="J586" i="4" s="1"/>
  <c r="J587" i="4" s="1"/>
  <c r="J588" i="4" s="1"/>
  <c r="J589" i="4" s="1"/>
  <c r="J590" i="4" s="1"/>
  <c r="J591" i="4" s="1"/>
  <c r="J592" i="4" s="1"/>
  <c r="J593" i="4" s="1"/>
  <c r="J594" i="4" s="1"/>
  <c r="M584" i="4" s="1"/>
  <c r="M585" i="4" s="1"/>
  <c r="M586" i="4" s="1"/>
  <c r="M587" i="4" s="1"/>
  <c r="M588" i="4" s="1"/>
  <c r="M589" i="4" s="1"/>
  <c r="M590" i="4" s="1"/>
  <c r="M591" i="4" s="1"/>
  <c r="M592" i="4" s="1"/>
  <c r="M593" i="4" s="1"/>
  <c r="M594" i="4" s="1"/>
  <c r="P584" i="4" s="1"/>
  <c r="P585" i="4" s="1"/>
  <c r="P586" i="4" s="1"/>
  <c r="P587" i="4" s="1"/>
  <c r="P588" i="4" s="1"/>
  <c r="P589" i="4" s="1"/>
  <c r="P590" i="4" s="1"/>
  <c r="P591" i="4" s="1"/>
  <c r="P592" i="4" s="1"/>
  <c r="P593" i="4" s="1"/>
  <c r="P594" i="4" s="1"/>
  <c r="S584" i="4" s="1"/>
  <c r="S585" i="4" s="1"/>
  <c r="S586" i="4" s="1"/>
  <c r="S587" i="4" s="1"/>
  <c r="S588" i="4" s="1"/>
  <c r="S589" i="4" s="1"/>
  <c r="S590" i="4" s="1"/>
  <c r="S591" i="4" s="1"/>
  <c r="S592" i="4" s="1"/>
  <c r="S593" i="4" s="1"/>
  <c r="S594" i="4" s="1"/>
  <c r="V584" i="4" s="1"/>
  <c r="V585" i="4" s="1"/>
  <c r="V586" i="4" s="1"/>
  <c r="V587" i="4" s="1"/>
  <c r="V588" i="4" s="1"/>
  <c r="V589" i="4" s="1"/>
  <c r="V590" i="4" s="1"/>
  <c r="V591" i="4" s="1"/>
  <c r="V592" i="4" s="1"/>
  <c r="V593" i="4" s="1"/>
  <c r="V594" i="4" s="1"/>
  <c r="D596" i="4" s="1"/>
  <c r="D597" i="4" s="1"/>
  <c r="D598" i="4" s="1"/>
  <c r="D599" i="4" s="1"/>
  <c r="D600" i="4" s="1"/>
  <c r="D601" i="4" s="1"/>
  <c r="D602" i="4" s="1"/>
  <c r="D603" i="4" s="1"/>
  <c r="D604" i="4" s="1"/>
  <c r="D605" i="4" s="1"/>
  <c r="D606" i="4" s="1"/>
  <c r="G596" i="4" s="1"/>
  <c r="G597" i="4" s="1"/>
  <c r="G598" i="4" s="1"/>
  <c r="G599" i="4" s="1"/>
  <c r="G600" i="4" s="1"/>
  <c r="G601" i="4" s="1"/>
  <c r="G602" i="4" s="1"/>
  <c r="G603" i="4" s="1"/>
  <c r="G604" i="4" s="1"/>
  <c r="G605" i="4" s="1"/>
  <c r="G606" i="4" s="1"/>
  <c r="J596" i="4" s="1"/>
  <c r="J597" i="4" s="1"/>
  <c r="J598" i="4" s="1"/>
  <c r="J599" i="4" s="1"/>
  <c r="J600" i="4" s="1"/>
  <c r="J601" i="4" s="1"/>
  <c r="J602" i="4" s="1"/>
  <c r="J603" i="4" s="1"/>
  <c r="J604" i="4" s="1"/>
  <c r="J605" i="4" s="1"/>
  <c r="J606" i="4" s="1"/>
  <c r="M596" i="4" s="1"/>
  <c r="M597" i="4" s="1"/>
  <c r="M598" i="4" s="1"/>
  <c r="M599" i="4" s="1"/>
  <c r="M600" i="4" s="1"/>
  <c r="M601" i="4" s="1"/>
  <c r="M602" i="4" s="1"/>
  <c r="M603" i="4" s="1"/>
  <c r="M604" i="4" s="1"/>
  <c r="M605" i="4" s="1"/>
  <c r="M606" i="4" s="1"/>
  <c r="P596" i="4" s="1"/>
  <c r="P597" i="4" s="1"/>
  <c r="P598" i="4" s="1"/>
  <c r="P599" i="4" s="1"/>
  <c r="P600" i="4" s="1"/>
  <c r="P601" i="4" s="1"/>
  <c r="P602" i="4" s="1"/>
  <c r="P603" i="4" s="1"/>
  <c r="P604" i="4" s="1"/>
  <c r="P605" i="4" s="1"/>
  <c r="P606" i="4" s="1"/>
  <c r="S596" i="4" s="1"/>
  <c r="S597" i="4" s="1"/>
  <c r="S598" i="4" s="1"/>
  <c r="S599" i="4" s="1"/>
  <c r="S600" i="4" s="1"/>
  <c r="S601" i="4" s="1"/>
  <c r="S602" i="4" s="1"/>
  <c r="S603" i="4" s="1"/>
  <c r="S604" i="4" s="1"/>
  <c r="S605" i="4" s="1"/>
  <c r="S606" i="4" s="1"/>
  <c r="V596" i="4" s="1"/>
  <c r="V597" i="4" s="1"/>
  <c r="V598" i="4" s="1"/>
  <c r="V599" i="4" s="1"/>
  <c r="V600" i="4" s="1"/>
  <c r="V601" i="4" s="1"/>
  <c r="V602" i="4" s="1"/>
  <c r="V603" i="4" s="1"/>
  <c r="V604" i="4" s="1"/>
  <c r="V605" i="4" s="1"/>
  <c r="V606" i="4" s="1"/>
  <c r="D608" i="4" s="1"/>
  <c r="D609" i="4" s="1"/>
  <c r="D610" i="4" s="1"/>
  <c r="D611" i="4" s="1"/>
  <c r="D612" i="4" s="1"/>
  <c r="D613" i="4" s="1"/>
  <c r="D614" i="4" s="1"/>
  <c r="D615" i="4" s="1"/>
  <c r="D616" i="4" s="1"/>
  <c r="D617" i="4" s="1"/>
  <c r="D618" i="4" s="1"/>
  <c r="G608" i="4" s="1"/>
  <c r="G609" i="4" s="1"/>
  <c r="G610" i="4" s="1"/>
  <c r="G611" i="4" s="1"/>
  <c r="G612" i="4" s="1"/>
  <c r="G613" i="4" s="1"/>
  <c r="G614" i="4" s="1"/>
  <c r="G615" i="4" s="1"/>
  <c r="G616" i="4" s="1"/>
  <c r="G617" i="4" s="1"/>
  <c r="G618" i="4" s="1"/>
  <c r="J608" i="4" s="1"/>
  <c r="J609" i="4" s="1"/>
  <c r="J610" i="4" s="1"/>
  <c r="J611" i="4" s="1"/>
  <c r="J612" i="4" s="1"/>
  <c r="J613" i="4" s="1"/>
  <c r="J614" i="4" s="1"/>
  <c r="J615" i="4" s="1"/>
  <c r="J616" i="4" s="1"/>
  <c r="J617" i="4" s="1"/>
  <c r="J618" i="4" s="1"/>
  <c r="M608" i="4" s="1"/>
  <c r="M609" i="4" s="1"/>
  <c r="M610" i="4" s="1"/>
  <c r="M611" i="4" s="1"/>
  <c r="M612" i="4" s="1"/>
  <c r="M613" i="4" s="1"/>
  <c r="M614" i="4" s="1"/>
  <c r="M615" i="4" s="1"/>
  <c r="M616" i="4" s="1"/>
  <c r="M617" i="4" s="1"/>
  <c r="M618" i="4" s="1"/>
  <c r="P608" i="4" s="1"/>
  <c r="P609" i="4" s="1"/>
  <c r="P610" i="4" s="1"/>
  <c r="P611" i="4" s="1"/>
  <c r="P612" i="4" s="1"/>
  <c r="P613" i="4" s="1"/>
  <c r="P614" i="4" s="1"/>
  <c r="P615" i="4" s="1"/>
  <c r="P616" i="4" s="1"/>
  <c r="P617" i="4" s="1"/>
  <c r="P618" i="4" s="1"/>
  <c r="S608" i="4" s="1"/>
  <c r="S609" i="4" s="1"/>
  <c r="S610" i="4" s="1"/>
  <c r="S611" i="4" s="1"/>
  <c r="S612" i="4" s="1"/>
  <c r="S613" i="4" s="1"/>
  <c r="S614" i="4" s="1"/>
  <c r="S615" i="4" s="1"/>
  <c r="S616" i="4" s="1"/>
  <c r="S617" i="4" s="1"/>
  <c r="S618" i="4" s="1"/>
  <c r="V608" i="4" s="1"/>
  <c r="V609" i="4" s="1"/>
  <c r="V610" i="4" s="1"/>
  <c r="V611" i="4" s="1"/>
  <c r="V612" i="4" s="1"/>
  <c r="V613" i="4" s="1"/>
  <c r="V614" i="4" s="1"/>
  <c r="V615" i="4" s="1"/>
  <c r="V616" i="4" s="1"/>
  <c r="V617" i="4" s="1"/>
  <c r="V618" i="4" s="1"/>
  <c r="D620" i="4" s="1"/>
  <c r="D621" i="4" s="1"/>
  <c r="D622" i="4" s="1"/>
  <c r="D623" i="4" s="1"/>
  <c r="D624" i="4" s="1"/>
  <c r="D625" i="4" s="1"/>
  <c r="D626" i="4" s="1"/>
  <c r="D627" i="4" s="1"/>
  <c r="D628" i="4" s="1"/>
  <c r="D629" i="4" s="1"/>
  <c r="D630" i="4" s="1"/>
  <c r="G620" i="4" s="1"/>
  <c r="G621" i="4" s="1"/>
  <c r="G622" i="4" s="1"/>
  <c r="G623" i="4" s="1"/>
  <c r="G624" i="4" s="1"/>
  <c r="G625" i="4" s="1"/>
  <c r="G626" i="4" s="1"/>
  <c r="G627" i="4" s="1"/>
  <c r="G628" i="4" s="1"/>
  <c r="G629" i="4" s="1"/>
  <c r="G630" i="4" s="1"/>
  <c r="J620" i="4" s="1"/>
  <c r="J621" i="4" s="1"/>
  <c r="J622" i="4" s="1"/>
  <c r="J623" i="4" s="1"/>
  <c r="J624" i="4" s="1"/>
  <c r="J625" i="4" s="1"/>
  <c r="J626" i="4" s="1"/>
  <c r="J627" i="4" s="1"/>
  <c r="J628" i="4" s="1"/>
  <c r="J629" i="4" s="1"/>
  <c r="J630" i="4" s="1"/>
  <c r="M620" i="4" s="1"/>
  <c r="M621" i="4" s="1"/>
  <c r="M622" i="4" s="1"/>
  <c r="M623" i="4" s="1"/>
  <c r="M624" i="4" s="1"/>
  <c r="M625" i="4" s="1"/>
  <c r="M626" i="4" s="1"/>
  <c r="M627" i="4" s="1"/>
  <c r="M628" i="4" s="1"/>
  <c r="M629" i="4" s="1"/>
  <c r="M630" i="4" s="1"/>
  <c r="P620" i="4" s="1"/>
  <c r="P621" i="4" s="1"/>
  <c r="P622" i="4" s="1"/>
  <c r="P623" i="4" s="1"/>
  <c r="P624" i="4" s="1"/>
  <c r="P625" i="4" s="1"/>
  <c r="P626" i="4" s="1"/>
  <c r="P627" i="4" s="1"/>
  <c r="P628" i="4" s="1"/>
  <c r="P629" i="4" s="1"/>
  <c r="P630" i="4" s="1"/>
  <c r="S620" i="4" s="1"/>
  <c r="S621" i="4" s="1"/>
  <c r="S622" i="4" s="1"/>
  <c r="S623" i="4" s="1"/>
  <c r="S624" i="4" s="1"/>
  <c r="S625" i="4" s="1"/>
  <c r="S626" i="4" s="1"/>
  <c r="S627" i="4" s="1"/>
  <c r="S628" i="4" s="1"/>
  <c r="S629" i="4" s="1"/>
  <c r="S630" i="4" s="1"/>
  <c r="V620" i="4" s="1"/>
  <c r="V621" i="4" s="1"/>
  <c r="V622" i="4" s="1"/>
  <c r="V623" i="4" s="1"/>
  <c r="V624" i="4" s="1"/>
  <c r="V625" i="4" s="1"/>
  <c r="V626" i="4" s="1"/>
  <c r="V627" i="4" s="1"/>
  <c r="V628" i="4" s="1"/>
  <c r="V629" i="4" s="1"/>
  <c r="V630" i="4" s="1"/>
  <c r="D632" i="4" s="1"/>
  <c r="D633" i="4" s="1"/>
  <c r="D634" i="4" s="1"/>
  <c r="D635" i="4" s="1"/>
  <c r="D636" i="4" s="1"/>
  <c r="D637" i="4" s="1"/>
  <c r="D638" i="4" s="1"/>
  <c r="D639" i="4" s="1"/>
  <c r="D640" i="4" s="1"/>
  <c r="D641" i="4" s="1"/>
  <c r="D642" i="4" s="1"/>
  <c r="G632" i="4" s="1"/>
  <c r="G633" i="4" s="1"/>
  <c r="G634" i="4" s="1"/>
  <c r="G635" i="4" s="1"/>
  <c r="G636" i="4" s="1"/>
  <c r="G637" i="4" s="1"/>
  <c r="G638" i="4" s="1"/>
  <c r="G639" i="4" s="1"/>
  <c r="G640" i="4" s="1"/>
  <c r="G641" i="4" s="1"/>
  <c r="G642" i="4" s="1"/>
  <c r="J632" i="4" s="1"/>
  <c r="J633" i="4" s="1"/>
  <c r="J634" i="4" s="1"/>
  <c r="J635" i="4" s="1"/>
  <c r="J636" i="4" s="1"/>
  <c r="J637" i="4" s="1"/>
  <c r="J638" i="4" s="1"/>
  <c r="J639" i="4" s="1"/>
  <c r="J640" i="4" s="1"/>
  <c r="J641" i="4" s="1"/>
  <c r="J642" i="4" s="1"/>
  <c r="M632" i="4" s="1"/>
  <c r="M633" i="4" s="1"/>
  <c r="M634" i="4" s="1"/>
  <c r="M635" i="4" s="1"/>
  <c r="M636" i="4" s="1"/>
  <c r="M637" i="4" s="1"/>
  <c r="M638" i="4" s="1"/>
  <c r="M639" i="4" s="1"/>
  <c r="M640" i="4" s="1"/>
  <c r="M641" i="4" s="1"/>
  <c r="M642" i="4" s="1"/>
  <c r="P632" i="4" s="1"/>
  <c r="P633" i="4" s="1"/>
  <c r="P634" i="4" s="1"/>
  <c r="P635" i="4" s="1"/>
  <c r="P636" i="4" s="1"/>
  <c r="P637" i="4" s="1"/>
  <c r="P638" i="4" s="1"/>
  <c r="P639" i="4" s="1"/>
  <c r="P640" i="4" s="1"/>
  <c r="P641" i="4" s="1"/>
  <c r="P642" i="4" s="1"/>
  <c r="S632" i="4" s="1"/>
  <c r="S633" i="4" s="1"/>
  <c r="S634" i="4" s="1"/>
  <c r="S635" i="4" s="1"/>
  <c r="S636" i="4" s="1"/>
  <c r="S637" i="4" s="1"/>
  <c r="S638" i="4" s="1"/>
  <c r="S639" i="4" s="1"/>
  <c r="S640" i="4" s="1"/>
  <c r="S641" i="4" s="1"/>
  <c r="S642" i="4" s="1"/>
  <c r="V632" i="4" s="1"/>
  <c r="V633" i="4" s="1"/>
  <c r="V634" i="4" s="1"/>
  <c r="V635" i="4" s="1"/>
  <c r="V636" i="4" s="1"/>
  <c r="V637" i="4" s="1"/>
  <c r="V638" i="4" s="1"/>
  <c r="V639" i="4" s="1"/>
  <c r="V640" i="4" s="1"/>
  <c r="V641" i="4" s="1"/>
  <c r="V642" i="4" s="1"/>
  <c r="T34" i="4"/>
  <c r="Q34" i="4"/>
  <c r="N34" i="4"/>
  <c r="K34" i="4"/>
  <c r="H34" i="4"/>
  <c r="E34" i="4"/>
  <c r="B34" i="4"/>
  <c r="T23" i="4"/>
  <c r="Q23" i="4"/>
  <c r="N23" i="4"/>
  <c r="K23" i="4"/>
  <c r="H23" i="4"/>
  <c r="E23" i="4"/>
  <c r="B23" i="4"/>
  <c r="T12" i="4"/>
  <c r="Q12" i="4"/>
  <c r="N12" i="4"/>
  <c r="K12" i="4"/>
  <c r="H12" i="4"/>
  <c r="E12" i="4"/>
  <c r="B12" i="4"/>
  <c r="D8" i="4"/>
  <c r="D9" i="4" s="1"/>
  <c r="D10" i="4" s="1"/>
  <c r="D11" i="4" s="1"/>
  <c r="G4" i="4" s="1"/>
  <c r="G5" i="4" s="1"/>
  <c r="G6" i="4" s="1"/>
  <c r="G7" i="4" s="1"/>
  <c r="G8" i="4" s="1"/>
  <c r="G9" i="4" s="1"/>
  <c r="G10" i="4" s="1"/>
  <c r="G11" i="4" s="1"/>
  <c r="J4" i="4" s="1"/>
  <c r="J5" i="4" s="1"/>
  <c r="J6" i="4" s="1"/>
  <c r="J7" i="4" s="1"/>
  <c r="J8" i="4" s="1"/>
  <c r="J9" i="4" s="1"/>
  <c r="J10" i="4" s="1"/>
  <c r="J11" i="4" s="1"/>
  <c r="M4" i="4" s="1"/>
  <c r="M5" i="4" s="1"/>
  <c r="M6" i="4" s="1"/>
  <c r="M7" i="4" s="1"/>
  <c r="M8" i="4" s="1"/>
  <c r="M9" i="4" s="1"/>
  <c r="M10" i="4" s="1"/>
  <c r="M11" i="4" s="1"/>
  <c r="P4" i="4" s="1"/>
  <c r="P5" i="4" s="1"/>
  <c r="P6" i="4" s="1"/>
  <c r="P7" i="4" s="1"/>
  <c r="P8" i="4" s="1"/>
  <c r="P9" i="4" s="1"/>
  <c r="P10" i="4" s="1"/>
  <c r="P11" i="4" s="1"/>
  <c r="S4" i="4" s="1"/>
  <c r="S5" i="4" s="1"/>
  <c r="S6" i="4" s="1"/>
  <c r="S7" i="4" s="1"/>
  <c r="S8" i="4" s="1"/>
  <c r="S9" i="4" s="1"/>
  <c r="S10" i="4" s="1"/>
  <c r="S11" i="4" s="1"/>
  <c r="V4" i="4" s="1"/>
  <c r="V5" i="4" s="1"/>
  <c r="V6" i="4" s="1"/>
  <c r="V7" i="4" s="1"/>
  <c r="V8" i="4" s="1"/>
  <c r="V9" i="4" s="1"/>
  <c r="V10" i="4" s="1"/>
  <c r="V11" i="4" s="1"/>
  <c r="D13" i="4" s="1"/>
  <c r="D14" i="4" s="1"/>
  <c r="D15" i="4" s="1"/>
  <c r="D16" i="4" s="1"/>
  <c r="D17" i="4" s="1"/>
  <c r="D18" i="4" s="1"/>
  <c r="D19" i="4" s="1"/>
  <c r="D20" i="4" s="1"/>
  <c r="D21" i="4" s="1"/>
  <c r="D22" i="4" s="1"/>
  <c r="G13" i="4" s="1"/>
  <c r="G14" i="4" s="1"/>
  <c r="G15" i="4" s="1"/>
  <c r="G16" i="4" s="1"/>
  <c r="G17" i="4" s="1"/>
  <c r="G18" i="4" s="1"/>
  <c r="G19" i="4" s="1"/>
  <c r="G20" i="4" s="1"/>
  <c r="G21" i="4" s="1"/>
  <c r="G22" i="4" s="1"/>
  <c r="J13" i="4" s="1"/>
  <c r="J14" i="4" s="1"/>
  <c r="J15" i="4" s="1"/>
  <c r="J16" i="4" s="1"/>
  <c r="J17" i="4" s="1"/>
  <c r="J18" i="4" s="1"/>
  <c r="J19" i="4" s="1"/>
  <c r="J20" i="4" s="1"/>
  <c r="J21" i="4" s="1"/>
  <c r="J22" i="4" s="1"/>
  <c r="M13" i="4" s="1"/>
  <c r="M14" i="4" s="1"/>
  <c r="M15" i="4" s="1"/>
  <c r="M16" i="4" s="1"/>
  <c r="M17" i="4" s="1"/>
  <c r="M18" i="4" s="1"/>
  <c r="M19" i="4" s="1"/>
  <c r="M20" i="4" s="1"/>
  <c r="M21" i="4" s="1"/>
  <c r="M22" i="4" s="1"/>
  <c r="P13" i="4" s="1"/>
  <c r="P14" i="4" s="1"/>
  <c r="P15" i="4" s="1"/>
  <c r="P16" i="4" s="1"/>
  <c r="P17" i="4" s="1"/>
  <c r="P18" i="4" s="1"/>
  <c r="P19" i="4" s="1"/>
  <c r="P20" i="4" s="1"/>
  <c r="P21" i="4" s="1"/>
  <c r="P22" i="4" s="1"/>
  <c r="S13" i="4" s="1"/>
  <c r="S14" i="4" s="1"/>
  <c r="S15" i="4" s="1"/>
  <c r="S16" i="4" s="1"/>
  <c r="S17" i="4" s="1"/>
  <c r="S18" i="4" s="1"/>
  <c r="S19" i="4" s="1"/>
  <c r="S20" i="4" s="1"/>
  <c r="S21" i="4" s="1"/>
  <c r="S22" i="4" s="1"/>
  <c r="V13" i="4" s="1"/>
  <c r="V14" i="4" s="1"/>
  <c r="V15" i="4" s="1"/>
  <c r="V16" i="4" s="1"/>
  <c r="V17" i="4" s="1"/>
  <c r="V18" i="4" s="1"/>
  <c r="V19" i="4" s="1"/>
  <c r="V20" i="4" s="1"/>
  <c r="V21" i="4" s="1"/>
  <c r="V22" i="4" s="1"/>
  <c r="D24" i="4" s="1"/>
  <c r="D25" i="4" s="1"/>
  <c r="D26" i="4" s="1"/>
  <c r="D27" i="4" s="1"/>
  <c r="D28" i="4" s="1"/>
  <c r="D29" i="4" s="1"/>
  <c r="D30" i="4" s="1"/>
  <c r="D31" i="4" s="1"/>
  <c r="D32" i="4" s="1"/>
  <c r="D33" i="4" s="1"/>
  <c r="G24" i="4" s="1"/>
  <c r="G25" i="4" s="1"/>
  <c r="G26" i="4" s="1"/>
  <c r="G27" i="4" s="1"/>
  <c r="G28" i="4" s="1"/>
  <c r="G29" i="4" s="1"/>
  <c r="G30" i="4" s="1"/>
  <c r="G31" i="4" s="1"/>
  <c r="G32" i="4" s="1"/>
  <c r="G33" i="4" s="1"/>
  <c r="J24" i="4" s="1"/>
  <c r="J25" i="4" s="1"/>
  <c r="J26" i="4" s="1"/>
  <c r="J27" i="4" s="1"/>
  <c r="J28" i="4" s="1"/>
  <c r="J29" i="4" s="1"/>
  <c r="J30" i="4" s="1"/>
  <c r="J31" i="4" s="1"/>
  <c r="J32" i="4" s="1"/>
  <c r="J33" i="4" s="1"/>
  <c r="M24" i="4" s="1"/>
  <c r="M25" i="4" s="1"/>
  <c r="M26" i="4" s="1"/>
  <c r="M27" i="4" s="1"/>
  <c r="M28" i="4" s="1"/>
  <c r="M29" i="4" s="1"/>
  <c r="M30" i="4" s="1"/>
  <c r="M31" i="4" s="1"/>
  <c r="M32" i="4" s="1"/>
  <c r="M33" i="4" s="1"/>
  <c r="P24" i="4" s="1"/>
  <c r="P25" i="4" s="1"/>
  <c r="P26" i="4" s="1"/>
  <c r="P27" i="4" s="1"/>
  <c r="P28" i="4" s="1"/>
  <c r="P29" i="4" s="1"/>
  <c r="P30" i="4" s="1"/>
  <c r="P31" i="4" s="1"/>
  <c r="P32" i="4" s="1"/>
  <c r="P33" i="4" s="1"/>
  <c r="S24" i="4" s="1"/>
  <c r="S25" i="4" s="1"/>
  <c r="S26" i="4" s="1"/>
  <c r="S27" i="4" s="1"/>
  <c r="S28" i="4" s="1"/>
  <c r="S29" i="4" s="1"/>
  <c r="S30" i="4" s="1"/>
  <c r="S31" i="4" s="1"/>
  <c r="S32" i="4" s="1"/>
  <c r="S33" i="4" s="1"/>
  <c r="V24" i="4" s="1"/>
  <c r="V25" i="4" s="1"/>
  <c r="V26" i="4" s="1"/>
  <c r="V27" i="4" s="1"/>
  <c r="V28" i="4" s="1"/>
  <c r="V29" i="4" s="1"/>
  <c r="V30" i="4" s="1"/>
  <c r="V31" i="4" s="1"/>
  <c r="V32" i="4" s="1"/>
  <c r="V33" i="4" s="1"/>
  <c r="D35" i="4" s="1"/>
  <c r="D36" i="4" s="1"/>
  <c r="D37" i="4" s="1"/>
  <c r="D38" i="4" s="1"/>
  <c r="D39" i="4" s="1"/>
  <c r="D40" i="4" s="1"/>
  <c r="D41" i="4" s="1"/>
  <c r="D42" i="4" s="1"/>
  <c r="D43" i="4" s="1"/>
  <c r="D44" i="4" s="1"/>
  <c r="G35" i="4" s="1"/>
  <c r="G36" i="4" s="1"/>
  <c r="G37" i="4" s="1"/>
  <c r="G38" i="4" s="1"/>
  <c r="G39" i="4" s="1"/>
  <c r="G40" i="4" s="1"/>
  <c r="G41" i="4" s="1"/>
  <c r="G42" i="4" s="1"/>
  <c r="G43" i="4" s="1"/>
  <c r="G44" i="4" s="1"/>
  <c r="J35" i="4" s="1"/>
  <c r="J36" i="4" s="1"/>
  <c r="J37" i="4" s="1"/>
  <c r="J38" i="4" s="1"/>
  <c r="J39" i="4" s="1"/>
  <c r="J40" i="4" s="1"/>
  <c r="J41" i="4" s="1"/>
  <c r="J42" i="4" s="1"/>
  <c r="J43" i="4" s="1"/>
  <c r="J44" i="4" s="1"/>
  <c r="M35" i="4" s="1"/>
  <c r="M36" i="4" s="1"/>
  <c r="M37" i="4" s="1"/>
  <c r="M38" i="4" s="1"/>
  <c r="M39" i="4" s="1"/>
  <c r="M40" i="4" s="1"/>
  <c r="M41" i="4" s="1"/>
  <c r="M42" i="4" s="1"/>
  <c r="M43" i="4" s="1"/>
  <c r="M44" i="4" s="1"/>
  <c r="P35" i="4" s="1"/>
  <c r="P36" i="4" s="1"/>
  <c r="P37" i="4" s="1"/>
  <c r="P38" i="4" s="1"/>
  <c r="P39" i="4" s="1"/>
  <c r="P40" i="4" s="1"/>
  <c r="P41" i="4" s="1"/>
  <c r="P42" i="4" s="1"/>
  <c r="P43" i="4" s="1"/>
  <c r="P44" i="4" s="1"/>
  <c r="S35" i="4" s="1"/>
  <c r="S36" i="4" s="1"/>
  <c r="S37" i="4" s="1"/>
  <c r="S38" i="4" s="1"/>
  <c r="S39" i="4" s="1"/>
  <c r="S40" i="4" s="1"/>
  <c r="S41" i="4" s="1"/>
  <c r="S42" i="4" s="1"/>
  <c r="S43" i="4" s="1"/>
  <c r="S44" i="4" s="1"/>
  <c r="V35" i="4" s="1"/>
  <c r="V36" i="4" s="1"/>
  <c r="V37" i="4" s="1"/>
  <c r="V38" i="4" s="1"/>
  <c r="T2" i="4"/>
  <c r="Q2" i="4"/>
  <c r="N2" i="4"/>
  <c r="K2" i="4"/>
  <c r="H2" i="4"/>
  <c r="E2" i="4"/>
  <c r="T631" i="3"/>
  <c r="Q631" i="3"/>
  <c r="N631" i="3"/>
  <c r="K631" i="3"/>
  <c r="H631" i="3"/>
  <c r="E631" i="3"/>
  <c r="B631" i="3"/>
  <c r="T619" i="3"/>
  <c r="Q619" i="3"/>
  <c r="N619" i="3"/>
  <c r="K619" i="3"/>
  <c r="H619" i="3"/>
  <c r="E619" i="3"/>
  <c r="B619" i="3"/>
  <c r="T607" i="3"/>
  <c r="Q607" i="3"/>
  <c r="N607" i="3"/>
  <c r="K607" i="3"/>
  <c r="H607" i="3"/>
  <c r="E607" i="3"/>
  <c r="B607" i="3"/>
  <c r="T595" i="3"/>
  <c r="Q595" i="3"/>
  <c r="N595" i="3"/>
  <c r="K595" i="3"/>
  <c r="H595" i="3"/>
  <c r="E595" i="3"/>
  <c r="B595" i="3"/>
  <c r="T583" i="3"/>
  <c r="Q583" i="3"/>
  <c r="N583" i="3"/>
  <c r="K583" i="3"/>
  <c r="H583" i="3"/>
  <c r="E583" i="3"/>
  <c r="B583" i="3"/>
  <c r="T571" i="3"/>
  <c r="Q571" i="3"/>
  <c r="N571" i="3"/>
  <c r="K571" i="3"/>
  <c r="H571" i="3"/>
  <c r="E571" i="3"/>
  <c r="B571" i="3"/>
  <c r="T559" i="3"/>
  <c r="Q559" i="3"/>
  <c r="N559" i="3"/>
  <c r="K559" i="3"/>
  <c r="H559" i="3"/>
  <c r="E559" i="3"/>
  <c r="B559" i="3"/>
  <c r="T547" i="3"/>
  <c r="Q547" i="3"/>
  <c r="N547" i="3"/>
  <c r="K547" i="3"/>
  <c r="H547" i="3"/>
  <c r="E547" i="3"/>
  <c r="B547" i="3"/>
  <c r="T535" i="3"/>
  <c r="Q535" i="3"/>
  <c r="N535" i="3"/>
  <c r="K535" i="3"/>
  <c r="H535" i="3"/>
  <c r="E535" i="3"/>
  <c r="B535" i="3"/>
  <c r="T523" i="3"/>
  <c r="Q523" i="3"/>
  <c r="N523" i="3"/>
  <c r="K523" i="3"/>
  <c r="H523" i="3"/>
  <c r="E523" i="3"/>
  <c r="B523" i="3"/>
  <c r="T511" i="3"/>
  <c r="Q511" i="3"/>
  <c r="N511" i="3"/>
  <c r="K511" i="3"/>
  <c r="H511" i="3"/>
  <c r="E511" i="3"/>
  <c r="B511" i="3"/>
  <c r="T499" i="3"/>
  <c r="Q499" i="3"/>
  <c r="N499" i="3"/>
  <c r="K499" i="3"/>
  <c r="H499" i="3"/>
  <c r="E499" i="3"/>
  <c r="B499" i="3"/>
  <c r="T487" i="3"/>
  <c r="Q487" i="3"/>
  <c r="N487" i="3"/>
  <c r="K487" i="3"/>
  <c r="H487" i="3"/>
  <c r="E487" i="3"/>
  <c r="B487" i="3"/>
  <c r="T475" i="3"/>
  <c r="Q475" i="3"/>
  <c r="N475" i="3"/>
  <c r="K475" i="3"/>
  <c r="H475" i="3"/>
  <c r="E475" i="3"/>
  <c r="B475" i="3"/>
  <c r="T463" i="3"/>
  <c r="Q463" i="3"/>
  <c r="N463" i="3"/>
  <c r="K463" i="3"/>
  <c r="H463" i="3"/>
  <c r="E463" i="3"/>
  <c r="B463" i="3"/>
  <c r="T451" i="3"/>
  <c r="Q451" i="3"/>
  <c r="N451" i="3"/>
  <c r="K451" i="3"/>
  <c r="H451" i="3"/>
  <c r="E451" i="3"/>
  <c r="B451" i="3"/>
  <c r="T439" i="3"/>
  <c r="Q439" i="3"/>
  <c r="N439" i="3"/>
  <c r="K439" i="3"/>
  <c r="H439" i="3"/>
  <c r="E439" i="3"/>
  <c r="B439" i="3"/>
  <c r="T427" i="3"/>
  <c r="Q427" i="3"/>
  <c r="N427" i="3"/>
  <c r="K427" i="3"/>
  <c r="H427" i="3"/>
  <c r="E427" i="3"/>
  <c r="B427" i="3"/>
  <c r="T415" i="3"/>
  <c r="Q415" i="3"/>
  <c r="N415" i="3"/>
  <c r="K415" i="3"/>
  <c r="H415" i="3"/>
  <c r="E415" i="3"/>
  <c r="B415" i="3"/>
  <c r="T403" i="3"/>
  <c r="Q403" i="3"/>
  <c r="N403" i="3"/>
  <c r="K403" i="3"/>
  <c r="H403" i="3"/>
  <c r="E403" i="3"/>
  <c r="B403" i="3"/>
  <c r="T391" i="3"/>
  <c r="Q391" i="3"/>
  <c r="N391" i="3"/>
  <c r="K391" i="3"/>
  <c r="H391" i="3"/>
  <c r="E391" i="3"/>
  <c r="B391" i="3"/>
  <c r="T379" i="3"/>
  <c r="Q379" i="3"/>
  <c r="N379" i="3"/>
  <c r="K379" i="3"/>
  <c r="H379" i="3"/>
  <c r="E379" i="3"/>
  <c r="B379" i="3"/>
  <c r="T367" i="3"/>
  <c r="Q367" i="3"/>
  <c r="N367" i="3"/>
  <c r="K367" i="3"/>
  <c r="H367" i="3"/>
  <c r="E367" i="3"/>
  <c r="B367" i="3"/>
  <c r="T355" i="3"/>
  <c r="Q355" i="3"/>
  <c r="N355" i="3"/>
  <c r="K355" i="3"/>
  <c r="H355" i="3"/>
  <c r="E355" i="3"/>
  <c r="B355" i="3"/>
  <c r="T343" i="3"/>
  <c r="Q343" i="3"/>
  <c r="N343" i="3"/>
  <c r="K343" i="3"/>
  <c r="H343" i="3"/>
  <c r="E343" i="3"/>
  <c r="B343" i="3"/>
  <c r="T331" i="3"/>
  <c r="Q331" i="3"/>
  <c r="N331" i="3"/>
  <c r="K331" i="3"/>
  <c r="H331" i="3"/>
  <c r="E331" i="3"/>
  <c r="B331" i="3"/>
  <c r="T319" i="3"/>
  <c r="Q319" i="3"/>
  <c r="N319" i="3"/>
  <c r="K319" i="3"/>
  <c r="H319" i="3"/>
  <c r="E319" i="3"/>
  <c r="B319" i="3"/>
  <c r="T307" i="3"/>
  <c r="Q307" i="3"/>
  <c r="N307" i="3"/>
  <c r="K307" i="3"/>
  <c r="H307" i="3"/>
  <c r="E307" i="3"/>
  <c r="B307" i="3"/>
  <c r="T295" i="3"/>
  <c r="Q295" i="3"/>
  <c r="N295" i="3"/>
  <c r="K295" i="3"/>
  <c r="H295" i="3"/>
  <c r="E295" i="3"/>
  <c r="B295" i="3"/>
  <c r="T283" i="3"/>
  <c r="Q283" i="3"/>
  <c r="N283" i="3"/>
  <c r="K283" i="3"/>
  <c r="H283" i="3"/>
  <c r="E283" i="3"/>
  <c r="B283" i="3"/>
  <c r="T271" i="3"/>
  <c r="Q271" i="3"/>
  <c r="N271" i="3"/>
  <c r="K271" i="3"/>
  <c r="H271" i="3"/>
  <c r="E271" i="3"/>
  <c r="B271" i="3"/>
  <c r="T259" i="3"/>
  <c r="Q259" i="3"/>
  <c r="N259" i="3"/>
  <c r="K259" i="3"/>
  <c r="H259" i="3"/>
  <c r="E259" i="3"/>
  <c r="B259" i="3"/>
  <c r="T247" i="3"/>
  <c r="Q247" i="3"/>
  <c r="N247" i="3"/>
  <c r="K247" i="3"/>
  <c r="H247" i="3"/>
  <c r="E247" i="3"/>
  <c r="B247" i="3"/>
  <c r="T235" i="3"/>
  <c r="Q235" i="3"/>
  <c r="N235" i="3"/>
  <c r="K235" i="3"/>
  <c r="H235" i="3"/>
  <c r="E235" i="3"/>
  <c r="B235" i="3"/>
  <c r="T223" i="3"/>
  <c r="Q223" i="3"/>
  <c r="N223" i="3"/>
  <c r="K223" i="3"/>
  <c r="H223" i="3"/>
  <c r="E223" i="3"/>
  <c r="B223" i="3"/>
  <c r="T211" i="3"/>
  <c r="Q211" i="3"/>
  <c r="N211" i="3"/>
  <c r="K211" i="3"/>
  <c r="H211" i="3"/>
  <c r="E211" i="3"/>
  <c r="B211" i="3"/>
  <c r="T199" i="3"/>
  <c r="Q199" i="3"/>
  <c r="N199" i="3"/>
  <c r="K199" i="3"/>
  <c r="H199" i="3"/>
  <c r="E199" i="3"/>
  <c r="B199" i="3"/>
  <c r="T187" i="3"/>
  <c r="Q187" i="3"/>
  <c r="N187" i="3"/>
  <c r="K187" i="3"/>
  <c r="H187" i="3"/>
  <c r="E187" i="3"/>
  <c r="B187" i="3"/>
  <c r="T175" i="3"/>
  <c r="Q175" i="3"/>
  <c r="N175" i="3"/>
  <c r="K175" i="3"/>
  <c r="H175" i="3"/>
  <c r="E175" i="3"/>
  <c r="B175" i="3"/>
  <c r="T163" i="3"/>
  <c r="Q163" i="3"/>
  <c r="N163" i="3"/>
  <c r="K163" i="3"/>
  <c r="H163" i="3"/>
  <c r="E163" i="3"/>
  <c r="B163" i="3"/>
  <c r="T151" i="3"/>
  <c r="Q151" i="3"/>
  <c r="N151" i="3"/>
  <c r="K151" i="3"/>
  <c r="H151" i="3"/>
  <c r="E151" i="3"/>
  <c r="B151" i="3"/>
  <c r="T139" i="3"/>
  <c r="Q139" i="3"/>
  <c r="N139" i="3"/>
  <c r="K139" i="3"/>
  <c r="H139" i="3"/>
  <c r="E139" i="3"/>
  <c r="B139" i="3"/>
  <c r="T127" i="3"/>
  <c r="Q127" i="3"/>
  <c r="N127" i="3"/>
  <c r="K127" i="3"/>
  <c r="H127" i="3"/>
  <c r="E127" i="3"/>
  <c r="B127" i="3"/>
  <c r="T115" i="3"/>
  <c r="Q115" i="3"/>
  <c r="N115" i="3"/>
  <c r="K115" i="3"/>
  <c r="H115" i="3"/>
  <c r="E115" i="3"/>
  <c r="B115" i="3"/>
  <c r="T103" i="3"/>
  <c r="Q103" i="3"/>
  <c r="N103" i="3"/>
  <c r="K103" i="3"/>
  <c r="H103" i="3"/>
  <c r="E103" i="3"/>
  <c r="B103" i="3"/>
  <c r="T91" i="3"/>
  <c r="Q91" i="3"/>
  <c r="N91" i="3"/>
  <c r="K91" i="3"/>
  <c r="H91" i="3"/>
  <c r="E91" i="3"/>
  <c r="B91" i="3"/>
  <c r="T79" i="3"/>
  <c r="Q79" i="3"/>
  <c r="N79" i="3"/>
  <c r="K79" i="3"/>
  <c r="H79" i="3"/>
  <c r="E79" i="3"/>
  <c r="B79" i="3"/>
  <c r="T67" i="3"/>
  <c r="Q67" i="3"/>
  <c r="N67" i="3"/>
  <c r="K67" i="3"/>
  <c r="H67" i="3"/>
  <c r="E67" i="3"/>
  <c r="B67" i="3"/>
  <c r="T57" i="3"/>
  <c r="Q57" i="3"/>
  <c r="N57" i="3"/>
  <c r="K57" i="3"/>
  <c r="H57" i="3"/>
  <c r="E57" i="3"/>
  <c r="B57" i="3"/>
  <c r="T45" i="3"/>
  <c r="Q45" i="3"/>
  <c r="N45" i="3"/>
  <c r="K45" i="3"/>
  <c r="H45" i="3"/>
  <c r="E45" i="3"/>
  <c r="B45" i="3"/>
  <c r="T34" i="3"/>
  <c r="Q34" i="3"/>
  <c r="N34" i="3"/>
  <c r="K34" i="3"/>
  <c r="H34" i="3"/>
  <c r="E34" i="3"/>
  <c r="B34" i="3"/>
  <c r="T23" i="3"/>
  <c r="Q23" i="3"/>
  <c r="N23" i="3"/>
  <c r="K23" i="3"/>
  <c r="H23" i="3"/>
  <c r="E23" i="3"/>
  <c r="B23" i="3"/>
  <c r="T12" i="3"/>
  <c r="Q12" i="3"/>
  <c r="N12" i="3"/>
  <c r="K12" i="3"/>
  <c r="H12" i="3"/>
  <c r="E12" i="3"/>
  <c r="B12" i="3"/>
  <c r="M11" i="3"/>
  <c r="P4" i="3" s="1"/>
  <c r="P5" i="3" s="1"/>
  <c r="P6" i="3" s="1"/>
  <c r="P7" i="3" s="1"/>
  <c r="P8" i="3" s="1"/>
  <c r="P9" i="3" s="1"/>
  <c r="P10" i="3" s="1"/>
  <c r="P11" i="3" s="1"/>
  <c r="S4" i="3" s="1"/>
  <c r="S5" i="3" s="1"/>
  <c r="S6" i="3" s="1"/>
  <c r="S7" i="3" s="1"/>
  <c r="S8" i="3" s="1"/>
  <c r="S9" i="3" s="1"/>
  <c r="S10" i="3" s="1"/>
  <c r="S11" i="3" s="1"/>
  <c r="V4" i="3" s="1"/>
  <c r="V5" i="3" s="1"/>
  <c r="V6" i="3" s="1"/>
  <c r="V7" i="3" s="1"/>
  <c r="V8" i="3" s="1"/>
  <c r="V9" i="3" s="1"/>
  <c r="V10" i="3" s="1"/>
  <c r="V11" i="3" s="1"/>
  <c r="D13" i="3" s="1"/>
  <c r="D14" i="3" s="1"/>
  <c r="D15" i="3" s="1"/>
  <c r="D16" i="3" s="1"/>
  <c r="D17" i="3" s="1"/>
  <c r="D18" i="3" s="1"/>
  <c r="D19" i="3" s="1"/>
  <c r="D20" i="3" s="1"/>
  <c r="D21" i="3" s="1"/>
  <c r="D22" i="3" s="1"/>
  <c r="G13" i="3" s="1"/>
  <c r="G14" i="3" s="1"/>
  <c r="G15" i="3" s="1"/>
  <c r="G16" i="3" s="1"/>
  <c r="G17" i="3" s="1"/>
  <c r="G18" i="3" s="1"/>
  <c r="G19" i="3" s="1"/>
  <c r="G20" i="3" s="1"/>
  <c r="G21" i="3" s="1"/>
  <c r="G22" i="3" s="1"/>
  <c r="J13" i="3" s="1"/>
  <c r="J14" i="3" s="1"/>
  <c r="J15" i="3" s="1"/>
  <c r="J16" i="3" s="1"/>
  <c r="J17" i="3" s="1"/>
  <c r="J18" i="3" s="1"/>
  <c r="J19" i="3" s="1"/>
  <c r="J20" i="3" s="1"/>
  <c r="J21" i="3" s="1"/>
  <c r="J22" i="3" s="1"/>
  <c r="M13" i="3" s="1"/>
  <c r="M14" i="3" s="1"/>
  <c r="M15" i="3" s="1"/>
  <c r="M16" i="3" s="1"/>
  <c r="M17" i="3" s="1"/>
  <c r="M18" i="3" s="1"/>
  <c r="M19" i="3" s="1"/>
  <c r="M20" i="3" s="1"/>
  <c r="M21" i="3" s="1"/>
  <c r="M22" i="3" s="1"/>
  <c r="P13" i="3" s="1"/>
  <c r="P14" i="3" s="1"/>
  <c r="P15" i="3" s="1"/>
  <c r="P16" i="3" s="1"/>
  <c r="P17" i="3" s="1"/>
  <c r="P18" i="3" s="1"/>
  <c r="P19" i="3" s="1"/>
  <c r="P20" i="3" s="1"/>
  <c r="P21" i="3" s="1"/>
  <c r="P22" i="3" s="1"/>
  <c r="S13" i="3" s="1"/>
  <c r="S14" i="3" s="1"/>
  <c r="S15" i="3" s="1"/>
  <c r="S16" i="3" s="1"/>
  <c r="S17" i="3" s="1"/>
  <c r="S18" i="3" s="1"/>
  <c r="S19" i="3" s="1"/>
  <c r="S20" i="3" s="1"/>
  <c r="S21" i="3" s="1"/>
  <c r="S22" i="3" s="1"/>
  <c r="V13" i="3" s="1"/>
  <c r="V14" i="3" s="1"/>
  <c r="V15" i="3" s="1"/>
  <c r="V16" i="3" s="1"/>
  <c r="V17" i="3" s="1"/>
  <c r="V18" i="3" s="1"/>
  <c r="V19" i="3" s="1"/>
  <c r="V20" i="3" s="1"/>
  <c r="V21" i="3" s="1"/>
  <c r="V22" i="3" s="1"/>
  <c r="D24" i="3" s="1"/>
  <c r="D25" i="3" s="1"/>
  <c r="D26" i="3" s="1"/>
  <c r="D27" i="3" s="1"/>
  <c r="D28" i="3" s="1"/>
  <c r="D29" i="3" s="1"/>
  <c r="D30" i="3" s="1"/>
  <c r="D31" i="3" s="1"/>
  <c r="D32" i="3" s="1"/>
  <c r="D33" i="3" s="1"/>
  <c r="G24" i="3" s="1"/>
  <c r="G25" i="3" s="1"/>
  <c r="G26" i="3" s="1"/>
  <c r="G27" i="3" s="1"/>
  <c r="G28" i="3" s="1"/>
  <c r="G29" i="3" s="1"/>
  <c r="G30" i="3" s="1"/>
  <c r="G31" i="3" s="1"/>
  <c r="G32" i="3" s="1"/>
  <c r="G33" i="3" s="1"/>
  <c r="J24" i="3" s="1"/>
  <c r="J25" i="3" s="1"/>
  <c r="J26" i="3" s="1"/>
  <c r="J27" i="3" s="1"/>
  <c r="J28" i="3" s="1"/>
  <c r="J29" i="3" s="1"/>
  <c r="J30" i="3" s="1"/>
  <c r="J31" i="3" s="1"/>
  <c r="J32" i="3" s="1"/>
  <c r="J33" i="3" s="1"/>
  <c r="M24" i="3" s="1"/>
  <c r="M25" i="3" s="1"/>
  <c r="M26" i="3" s="1"/>
  <c r="M27" i="3" s="1"/>
  <c r="M28" i="3" s="1"/>
  <c r="M29" i="3" s="1"/>
  <c r="M30" i="3" s="1"/>
  <c r="M31" i="3" s="1"/>
  <c r="M32" i="3" s="1"/>
  <c r="M33" i="3" s="1"/>
  <c r="P24" i="3" s="1"/>
  <c r="P25" i="3" s="1"/>
  <c r="P26" i="3" s="1"/>
  <c r="P27" i="3" s="1"/>
  <c r="P28" i="3" s="1"/>
  <c r="P29" i="3" s="1"/>
  <c r="P30" i="3" s="1"/>
  <c r="P31" i="3" s="1"/>
  <c r="P32" i="3" s="1"/>
  <c r="P33" i="3" s="1"/>
  <c r="S24" i="3" s="1"/>
  <c r="S25" i="3" s="1"/>
  <c r="S26" i="3" s="1"/>
  <c r="S27" i="3" s="1"/>
  <c r="S28" i="3" s="1"/>
  <c r="S29" i="3" s="1"/>
  <c r="S30" i="3" s="1"/>
  <c r="S31" i="3" s="1"/>
  <c r="S32" i="3" s="1"/>
  <c r="S33" i="3" s="1"/>
  <c r="V24" i="3" s="1"/>
  <c r="V25" i="3" s="1"/>
  <c r="V26" i="3" s="1"/>
  <c r="V27" i="3" s="1"/>
  <c r="V28" i="3" s="1"/>
  <c r="V29" i="3" s="1"/>
  <c r="V30" i="3" s="1"/>
  <c r="V31" i="3" s="1"/>
  <c r="V32" i="3" s="1"/>
  <c r="V33" i="3" s="1"/>
  <c r="D35" i="3" s="1"/>
  <c r="D36" i="3" s="1"/>
  <c r="D37" i="3" s="1"/>
  <c r="D38" i="3" s="1"/>
  <c r="D39" i="3" s="1"/>
  <c r="D40" i="3" s="1"/>
  <c r="D41" i="3" s="1"/>
  <c r="D42" i="3" s="1"/>
  <c r="D43" i="3" s="1"/>
  <c r="D44" i="3" s="1"/>
  <c r="G35" i="3" s="1"/>
  <c r="G36" i="3" s="1"/>
  <c r="G37" i="3" s="1"/>
  <c r="G38" i="3" s="1"/>
  <c r="G39" i="3" s="1"/>
  <c r="G40" i="3" s="1"/>
  <c r="G41" i="3" s="1"/>
  <c r="G42" i="3" s="1"/>
  <c r="G43" i="3" s="1"/>
  <c r="G44" i="3" s="1"/>
  <c r="J35" i="3" s="1"/>
  <c r="J36" i="3" s="1"/>
  <c r="J37" i="3" s="1"/>
  <c r="J38" i="3" s="1"/>
  <c r="J39" i="3" s="1"/>
  <c r="J40" i="3" s="1"/>
  <c r="J41" i="3" s="1"/>
  <c r="J42" i="3" s="1"/>
  <c r="J43" i="3" s="1"/>
  <c r="J44" i="3" s="1"/>
  <c r="M35" i="3" s="1"/>
  <c r="M36" i="3" s="1"/>
  <c r="M37" i="3" s="1"/>
  <c r="M38" i="3" s="1"/>
  <c r="M39" i="3" s="1"/>
  <c r="M40" i="3" s="1"/>
  <c r="M41" i="3" s="1"/>
  <c r="M42" i="3" s="1"/>
  <c r="M43" i="3" s="1"/>
  <c r="M44" i="3" s="1"/>
  <c r="P35" i="3" s="1"/>
  <c r="P36" i="3" s="1"/>
  <c r="P37" i="3" s="1"/>
  <c r="P38" i="3" s="1"/>
  <c r="P39" i="3" s="1"/>
  <c r="P40" i="3" s="1"/>
  <c r="P41" i="3" s="1"/>
  <c r="P42" i="3" s="1"/>
  <c r="P43" i="3" s="1"/>
  <c r="P44" i="3" s="1"/>
  <c r="S35" i="3" s="1"/>
  <c r="S36" i="3" s="1"/>
  <c r="S37" i="3" s="1"/>
  <c r="S38" i="3" s="1"/>
  <c r="S39" i="3" s="1"/>
  <c r="S40" i="3" s="1"/>
  <c r="S41" i="3" s="1"/>
  <c r="S42" i="3" s="1"/>
  <c r="S43" i="3" s="1"/>
  <c r="S44" i="3" s="1"/>
  <c r="V35" i="3" s="1"/>
  <c r="V36" i="3" s="1"/>
  <c r="V37" i="3" s="1"/>
  <c r="V38" i="3" s="1"/>
  <c r="V39" i="3" s="1"/>
  <c r="V40" i="3" s="1"/>
  <c r="V41" i="3" s="1"/>
  <c r="V42" i="3" s="1"/>
  <c r="V43" i="3" s="1"/>
  <c r="V44" i="3" s="1"/>
  <c r="D46" i="3" s="1"/>
  <c r="D47" i="3" s="1"/>
  <c r="D48" i="3" s="1"/>
  <c r="D49" i="3" s="1"/>
  <c r="D50" i="3" s="1"/>
  <c r="D51" i="3" s="1"/>
  <c r="D52" i="3" s="1"/>
  <c r="D53" i="3" s="1"/>
  <c r="D54" i="3" s="1"/>
  <c r="D55" i="3" s="1"/>
  <c r="D56" i="3" s="1"/>
  <c r="G46" i="3" s="1"/>
  <c r="G47" i="3" s="1"/>
  <c r="G48" i="3" s="1"/>
  <c r="G49" i="3" s="1"/>
  <c r="G50" i="3" s="1"/>
  <c r="G51" i="3" s="1"/>
  <c r="G52" i="3" s="1"/>
  <c r="G53" i="3" s="1"/>
  <c r="G54" i="3" s="1"/>
  <c r="G55" i="3" s="1"/>
  <c r="G56" i="3" s="1"/>
  <c r="J46" i="3" s="1"/>
  <c r="J47" i="3" s="1"/>
  <c r="J48" i="3" s="1"/>
  <c r="J49" i="3" s="1"/>
  <c r="J50" i="3" s="1"/>
  <c r="J51" i="3" s="1"/>
  <c r="J52" i="3" s="1"/>
  <c r="J53" i="3" s="1"/>
  <c r="J54" i="3" s="1"/>
  <c r="J55" i="3" s="1"/>
  <c r="J56" i="3" s="1"/>
  <c r="M46" i="3" s="1"/>
  <c r="M47" i="3" s="1"/>
  <c r="M48" i="3" s="1"/>
  <c r="M49" i="3" s="1"/>
  <c r="M50" i="3" s="1"/>
  <c r="M51" i="3" s="1"/>
  <c r="M52" i="3" s="1"/>
  <c r="M53" i="3" s="1"/>
  <c r="M54" i="3" s="1"/>
  <c r="M55" i="3" s="1"/>
  <c r="M56" i="3" s="1"/>
  <c r="P46" i="3" s="1"/>
  <c r="P47" i="3" s="1"/>
  <c r="P48" i="3" s="1"/>
  <c r="P49" i="3" s="1"/>
  <c r="P50" i="3" s="1"/>
  <c r="P51" i="3" s="1"/>
  <c r="P52" i="3" s="1"/>
  <c r="P53" i="3" s="1"/>
  <c r="P54" i="3" s="1"/>
  <c r="P55" i="3" s="1"/>
  <c r="P56" i="3" s="1"/>
  <c r="S46" i="3" s="1"/>
  <c r="S47" i="3" s="1"/>
  <c r="S48" i="3" s="1"/>
  <c r="S49" i="3" s="1"/>
  <c r="S50" i="3" s="1"/>
  <c r="S51" i="3" s="1"/>
  <c r="S52" i="3" s="1"/>
  <c r="S53" i="3" s="1"/>
  <c r="S54" i="3" s="1"/>
  <c r="S55" i="3" s="1"/>
  <c r="S56" i="3" s="1"/>
  <c r="V46" i="3" s="1"/>
  <c r="V47" i="3" s="1"/>
  <c r="V48" i="3" s="1"/>
  <c r="V49" i="3" s="1"/>
  <c r="V50" i="3" s="1"/>
  <c r="V51" i="3" s="1"/>
  <c r="V52" i="3" s="1"/>
  <c r="V53" i="3" s="1"/>
  <c r="V54" i="3" s="1"/>
  <c r="V55" i="3" s="1"/>
  <c r="V56" i="3" s="1"/>
  <c r="D58" i="3" s="1"/>
  <c r="D59" i="3" s="1"/>
  <c r="D60" i="3" s="1"/>
  <c r="D61" i="3" s="1"/>
  <c r="D62" i="3" s="1"/>
  <c r="D63" i="3" s="1"/>
  <c r="D64" i="3" s="1"/>
  <c r="D65" i="3" s="1"/>
  <c r="D66" i="3" s="1"/>
  <c r="G58" i="3" s="1"/>
  <c r="G59" i="3" s="1"/>
  <c r="G60" i="3" s="1"/>
  <c r="G61" i="3" s="1"/>
  <c r="G62" i="3" s="1"/>
  <c r="G63" i="3" s="1"/>
  <c r="G64" i="3" s="1"/>
  <c r="G65" i="3" s="1"/>
  <c r="G66" i="3" s="1"/>
  <c r="J58" i="3" s="1"/>
  <c r="J59" i="3" s="1"/>
  <c r="J60" i="3" s="1"/>
  <c r="J61" i="3" s="1"/>
  <c r="J62" i="3" s="1"/>
  <c r="J63" i="3" s="1"/>
  <c r="J64" i="3" s="1"/>
  <c r="J65" i="3" s="1"/>
  <c r="J66" i="3" s="1"/>
  <c r="M58" i="3" s="1"/>
  <c r="M59" i="3" s="1"/>
  <c r="M60" i="3" s="1"/>
  <c r="M61" i="3" s="1"/>
  <c r="M62" i="3" s="1"/>
  <c r="M63" i="3" s="1"/>
  <c r="M64" i="3" s="1"/>
  <c r="M65" i="3" s="1"/>
  <c r="M66" i="3" s="1"/>
  <c r="P58" i="3" s="1"/>
  <c r="P59" i="3" s="1"/>
  <c r="P60" i="3" s="1"/>
  <c r="P61" i="3" s="1"/>
  <c r="P62" i="3" s="1"/>
  <c r="P63" i="3" s="1"/>
  <c r="P64" i="3" s="1"/>
  <c r="P65" i="3" s="1"/>
  <c r="P66" i="3" s="1"/>
  <c r="S58" i="3" s="1"/>
  <c r="S59" i="3" s="1"/>
  <c r="S60" i="3" s="1"/>
  <c r="S61" i="3" s="1"/>
  <c r="S62" i="3" s="1"/>
  <c r="S63" i="3" s="1"/>
  <c r="S64" i="3" s="1"/>
  <c r="S65" i="3" s="1"/>
  <c r="S66" i="3" s="1"/>
  <c r="V58" i="3" s="1"/>
  <c r="V59" i="3" s="1"/>
  <c r="V60" i="3" s="1"/>
  <c r="V61" i="3" s="1"/>
  <c r="V62" i="3" s="1"/>
  <c r="V63" i="3" s="1"/>
  <c r="V64" i="3" s="1"/>
  <c r="V65" i="3" s="1"/>
  <c r="V66" i="3" s="1"/>
  <c r="D68" i="3" s="1"/>
  <c r="D69" i="3" s="1"/>
  <c r="D70" i="3" s="1"/>
  <c r="D71" i="3" s="1"/>
  <c r="D72" i="3" s="1"/>
  <c r="D73" i="3" s="1"/>
  <c r="D74" i="3" s="1"/>
  <c r="D75" i="3" s="1"/>
  <c r="D76" i="3" s="1"/>
  <c r="D77" i="3" s="1"/>
  <c r="D78" i="3" s="1"/>
  <c r="G68" i="3" s="1"/>
  <c r="G69" i="3" s="1"/>
  <c r="G70" i="3" s="1"/>
  <c r="G71" i="3" s="1"/>
  <c r="G72" i="3" s="1"/>
  <c r="G73" i="3" s="1"/>
  <c r="G74" i="3" s="1"/>
  <c r="G75" i="3" s="1"/>
  <c r="G76" i="3" s="1"/>
  <c r="G77" i="3" s="1"/>
  <c r="G78" i="3" s="1"/>
  <c r="J68" i="3" s="1"/>
  <c r="J69" i="3" s="1"/>
  <c r="J70" i="3" s="1"/>
  <c r="J71" i="3" s="1"/>
  <c r="J72" i="3" s="1"/>
  <c r="J73" i="3" s="1"/>
  <c r="J74" i="3" s="1"/>
  <c r="J75" i="3" s="1"/>
  <c r="J76" i="3" s="1"/>
  <c r="J77" i="3" s="1"/>
  <c r="J78" i="3" s="1"/>
  <c r="M68" i="3" s="1"/>
  <c r="M69" i="3" s="1"/>
  <c r="M70" i="3" s="1"/>
  <c r="M71" i="3" s="1"/>
  <c r="M72" i="3" s="1"/>
  <c r="M73" i="3" s="1"/>
  <c r="M74" i="3" s="1"/>
  <c r="M75" i="3" s="1"/>
  <c r="M76" i="3" s="1"/>
  <c r="M77" i="3" s="1"/>
  <c r="M78" i="3" s="1"/>
  <c r="P68" i="3" s="1"/>
  <c r="P69" i="3" s="1"/>
  <c r="P70" i="3" s="1"/>
  <c r="P71" i="3" s="1"/>
  <c r="P72" i="3" s="1"/>
  <c r="P73" i="3" s="1"/>
  <c r="P74" i="3" s="1"/>
  <c r="P75" i="3" s="1"/>
  <c r="P76" i="3" s="1"/>
  <c r="P77" i="3" s="1"/>
  <c r="P78" i="3" s="1"/>
  <c r="S68" i="3" s="1"/>
  <c r="S69" i="3" s="1"/>
  <c r="S70" i="3" s="1"/>
  <c r="S71" i="3" s="1"/>
  <c r="S72" i="3" s="1"/>
  <c r="S73" i="3" s="1"/>
  <c r="S74" i="3" s="1"/>
  <c r="S75" i="3" s="1"/>
  <c r="S76" i="3" s="1"/>
  <c r="S77" i="3" s="1"/>
  <c r="S78" i="3" s="1"/>
  <c r="V68" i="3" s="1"/>
  <c r="V69" i="3" s="1"/>
  <c r="V70" i="3" s="1"/>
  <c r="V71" i="3" s="1"/>
  <c r="V72" i="3" s="1"/>
  <c r="V73" i="3" s="1"/>
  <c r="V74" i="3" s="1"/>
  <c r="V75" i="3" s="1"/>
  <c r="V76" i="3" s="1"/>
  <c r="V77" i="3" s="1"/>
  <c r="V78" i="3" s="1"/>
  <c r="D80" i="3" s="1"/>
  <c r="D81" i="3" s="1"/>
  <c r="D82" i="3" s="1"/>
  <c r="D83" i="3" s="1"/>
  <c r="D84" i="3" s="1"/>
  <c r="D85" i="3" s="1"/>
  <c r="D86" i="3" s="1"/>
  <c r="D87" i="3" s="1"/>
  <c r="D88" i="3" s="1"/>
  <c r="D89" i="3" s="1"/>
  <c r="D90" i="3" s="1"/>
  <c r="G80" i="3" s="1"/>
  <c r="G81" i="3" s="1"/>
  <c r="G82" i="3" s="1"/>
  <c r="G83" i="3" s="1"/>
  <c r="G84" i="3" s="1"/>
  <c r="G85" i="3" s="1"/>
  <c r="G86" i="3" s="1"/>
  <c r="G87" i="3" s="1"/>
  <c r="G88" i="3" s="1"/>
  <c r="G89" i="3" s="1"/>
  <c r="G90" i="3" s="1"/>
  <c r="J80" i="3" s="1"/>
  <c r="J81" i="3" s="1"/>
  <c r="J82" i="3" s="1"/>
  <c r="J83" i="3" s="1"/>
  <c r="J84" i="3" s="1"/>
  <c r="J85" i="3" s="1"/>
  <c r="J86" i="3" s="1"/>
  <c r="J87" i="3" s="1"/>
  <c r="J88" i="3" s="1"/>
  <c r="J89" i="3" s="1"/>
  <c r="J90" i="3" s="1"/>
  <c r="M80" i="3" s="1"/>
  <c r="M81" i="3" s="1"/>
  <c r="M82" i="3" s="1"/>
  <c r="M83" i="3" s="1"/>
  <c r="M84" i="3" s="1"/>
  <c r="M85" i="3" s="1"/>
  <c r="M86" i="3" s="1"/>
  <c r="M87" i="3" s="1"/>
  <c r="M88" i="3" s="1"/>
  <c r="M89" i="3" s="1"/>
  <c r="M90" i="3" s="1"/>
  <c r="P80" i="3" s="1"/>
  <c r="P81" i="3" s="1"/>
  <c r="P82" i="3" s="1"/>
  <c r="P83" i="3" s="1"/>
  <c r="P84" i="3" s="1"/>
  <c r="P85" i="3" s="1"/>
  <c r="P86" i="3" s="1"/>
  <c r="P87" i="3" s="1"/>
  <c r="P88" i="3" s="1"/>
  <c r="P89" i="3" s="1"/>
  <c r="P90" i="3" s="1"/>
  <c r="S80" i="3" s="1"/>
  <c r="S81" i="3" s="1"/>
  <c r="S82" i="3" s="1"/>
  <c r="S83" i="3" s="1"/>
  <c r="S84" i="3" s="1"/>
  <c r="S85" i="3" s="1"/>
  <c r="S86" i="3" s="1"/>
  <c r="S87" i="3" s="1"/>
  <c r="S88" i="3" s="1"/>
  <c r="S89" i="3" s="1"/>
  <c r="S90" i="3" s="1"/>
  <c r="V80" i="3" s="1"/>
  <c r="V81" i="3" s="1"/>
  <c r="V82" i="3" s="1"/>
  <c r="V83" i="3" s="1"/>
  <c r="V84" i="3" s="1"/>
  <c r="V85" i="3" s="1"/>
  <c r="V86" i="3" s="1"/>
  <c r="V87" i="3" s="1"/>
  <c r="V88" i="3" s="1"/>
  <c r="V89" i="3" s="1"/>
  <c r="V90" i="3" s="1"/>
  <c r="D92" i="3" s="1"/>
  <c r="D93" i="3" s="1"/>
  <c r="D94" i="3" s="1"/>
  <c r="D95" i="3" s="1"/>
  <c r="D96" i="3" s="1"/>
  <c r="D97" i="3" s="1"/>
  <c r="D98" i="3" s="1"/>
  <c r="D99" i="3" s="1"/>
  <c r="D100" i="3" s="1"/>
  <c r="D101" i="3" s="1"/>
  <c r="D102" i="3" s="1"/>
  <c r="G92" i="3" s="1"/>
  <c r="G93" i="3" s="1"/>
  <c r="G94" i="3" s="1"/>
  <c r="G95" i="3" s="1"/>
  <c r="G96" i="3" s="1"/>
  <c r="G97" i="3" s="1"/>
  <c r="G98" i="3" s="1"/>
  <c r="G99" i="3" s="1"/>
  <c r="G100" i="3" s="1"/>
  <c r="G101" i="3" s="1"/>
  <c r="G102" i="3" s="1"/>
  <c r="J92" i="3" s="1"/>
  <c r="J93" i="3" s="1"/>
  <c r="J94" i="3" s="1"/>
  <c r="J95" i="3" s="1"/>
  <c r="J96" i="3" s="1"/>
  <c r="J97" i="3" s="1"/>
  <c r="J98" i="3" s="1"/>
  <c r="J99" i="3" s="1"/>
  <c r="J100" i="3" s="1"/>
  <c r="J101" i="3" s="1"/>
  <c r="J102" i="3" s="1"/>
  <c r="M92" i="3" s="1"/>
  <c r="M93" i="3" s="1"/>
  <c r="M94" i="3" s="1"/>
  <c r="M95" i="3" s="1"/>
  <c r="M96" i="3" s="1"/>
  <c r="M97" i="3" s="1"/>
  <c r="M98" i="3" s="1"/>
  <c r="M99" i="3" s="1"/>
  <c r="M100" i="3" s="1"/>
  <c r="M101" i="3" s="1"/>
  <c r="M102" i="3" s="1"/>
  <c r="P92" i="3" s="1"/>
  <c r="P93" i="3" s="1"/>
  <c r="P94" i="3" s="1"/>
  <c r="P95" i="3" s="1"/>
  <c r="P96" i="3" s="1"/>
  <c r="P97" i="3" s="1"/>
  <c r="P98" i="3" s="1"/>
  <c r="P99" i="3" s="1"/>
  <c r="P100" i="3" s="1"/>
  <c r="P101" i="3" s="1"/>
  <c r="P102" i="3" s="1"/>
  <c r="S92" i="3" s="1"/>
  <c r="S93" i="3" s="1"/>
  <c r="S94" i="3" s="1"/>
  <c r="S95" i="3" s="1"/>
  <c r="S96" i="3" s="1"/>
  <c r="S97" i="3" s="1"/>
  <c r="S98" i="3" s="1"/>
  <c r="S99" i="3" s="1"/>
  <c r="S100" i="3" s="1"/>
  <c r="S101" i="3" s="1"/>
  <c r="S102" i="3" s="1"/>
  <c r="V92" i="3" s="1"/>
  <c r="V93" i="3" s="1"/>
  <c r="V94" i="3" s="1"/>
  <c r="V95" i="3" s="1"/>
  <c r="V96" i="3" s="1"/>
  <c r="V97" i="3" s="1"/>
  <c r="V98" i="3" s="1"/>
  <c r="V99" i="3" s="1"/>
  <c r="V100" i="3" s="1"/>
  <c r="V101" i="3" s="1"/>
  <c r="V102" i="3" s="1"/>
  <c r="D104" i="3" s="1"/>
  <c r="D105" i="3" s="1"/>
  <c r="D106" i="3" s="1"/>
  <c r="D107" i="3" s="1"/>
  <c r="D108" i="3" s="1"/>
  <c r="D109" i="3" s="1"/>
  <c r="D110" i="3" s="1"/>
  <c r="D111" i="3" s="1"/>
  <c r="D112" i="3" s="1"/>
  <c r="D113" i="3" s="1"/>
  <c r="D114" i="3" s="1"/>
  <c r="G104" i="3" s="1"/>
  <c r="G105" i="3" s="1"/>
  <c r="G106" i="3" s="1"/>
  <c r="G107" i="3" s="1"/>
  <c r="G108" i="3" s="1"/>
  <c r="G109" i="3" s="1"/>
  <c r="G110" i="3" s="1"/>
  <c r="G111" i="3" s="1"/>
  <c r="G112" i="3" s="1"/>
  <c r="G113" i="3" s="1"/>
  <c r="G114" i="3" s="1"/>
  <c r="J104" i="3" s="1"/>
  <c r="J105" i="3" s="1"/>
  <c r="J106" i="3" s="1"/>
  <c r="J107" i="3" s="1"/>
  <c r="J108" i="3" s="1"/>
  <c r="J109" i="3" s="1"/>
  <c r="J110" i="3" s="1"/>
  <c r="J111" i="3" s="1"/>
  <c r="J112" i="3" s="1"/>
  <c r="J113" i="3" s="1"/>
  <c r="J114" i="3" s="1"/>
  <c r="M104" i="3" s="1"/>
  <c r="M105" i="3" s="1"/>
  <c r="M106" i="3" s="1"/>
  <c r="M107" i="3" s="1"/>
  <c r="M108" i="3" s="1"/>
  <c r="M109" i="3" s="1"/>
  <c r="M110" i="3" s="1"/>
  <c r="M111" i="3" s="1"/>
  <c r="M112" i="3" s="1"/>
  <c r="M113" i="3" s="1"/>
  <c r="M114" i="3" s="1"/>
  <c r="P104" i="3" s="1"/>
  <c r="P105" i="3" s="1"/>
  <c r="P106" i="3" s="1"/>
  <c r="P107" i="3" s="1"/>
  <c r="P108" i="3" s="1"/>
  <c r="P109" i="3" s="1"/>
  <c r="P110" i="3" s="1"/>
  <c r="P111" i="3" s="1"/>
  <c r="P112" i="3" s="1"/>
  <c r="P113" i="3" s="1"/>
  <c r="P114" i="3" s="1"/>
  <c r="S104" i="3" s="1"/>
  <c r="S105" i="3" s="1"/>
  <c r="S106" i="3" s="1"/>
  <c r="S107" i="3" s="1"/>
  <c r="S108" i="3" s="1"/>
  <c r="S109" i="3" s="1"/>
  <c r="S110" i="3" s="1"/>
  <c r="S111" i="3" s="1"/>
  <c r="S112" i="3" s="1"/>
  <c r="S113" i="3" s="1"/>
  <c r="S114" i="3" s="1"/>
  <c r="V104" i="3" s="1"/>
  <c r="V105" i="3" s="1"/>
  <c r="V106" i="3" s="1"/>
  <c r="V107" i="3" s="1"/>
  <c r="V108" i="3" s="1"/>
  <c r="V109" i="3" s="1"/>
  <c r="V110" i="3" s="1"/>
  <c r="V111" i="3" s="1"/>
  <c r="V112" i="3" s="1"/>
  <c r="V113" i="3" s="1"/>
  <c r="V114" i="3" s="1"/>
  <c r="D116" i="3" s="1"/>
  <c r="D117" i="3" s="1"/>
  <c r="D118" i="3" s="1"/>
  <c r="D119" i="3" s="1"/>
  <c r="D120" i="3" s="1"/>
  <c r="D121" i="3" s="1"/>
  <c r="D122" i="3" s="1"/>
  <c r="D123" i="3" s="1"/>
  <c r="D124" i="3" s="1"/>
  <c r="D125" i="3" s="1"/>
  <c r="D126" i="3" s="1"/>
  <c r="G116" i="3" s="1"/>
  <c r="G117" i="3" s="1"/>
  <c r="G118" i="3" s="1"/>
  <c r="G119" i="3" s="1"/>
  <c r="G120" i="3" s="1"/>
  <c r="G121" i="3" s="1"/>
  <c r="G122" i="3" s="1"/>
  <c r="G123" i="3" s="1"/>
  <c r="G124" i="3" s="1"/>
  <c r="G125" i="3" s="1"/>
  <c r="G126" i="3" s="1"/>
  <c r="J116" i="3" s="1"/>
  <c r="J117" i="3" s="1"/>
  <c r="J118" i="3" s="1"/>
  <c r="J119" i="3" s="1"/>
  <c r="J120" i="3" s="1"/>
  <c r="J121" i="3" s="1"/>
  <c r="J122" i="3" s="1"/>
  <c r="J123" i="3" s="1"/>
  <c r="J124" i="3" s="1"/>
  <c r="J125" i="3" s="1"/>
  <c r="J126" i="3" s="1"/>
  <c r="M116" i="3" s="1"/>
  <c r="M117" i="3" s="1"/>
  <c r="M118" i="3" s="1"/>
  <c r="M119" i="3" s="1"/>
  <c r="M120" i="3" s="1"/>
  <c r="M121" i="3" s="1"/>
  <c r="M122" i="3" s="1"/>
  <c r="M123" i="3" s="1"/>
  <c r="M124" i="3" s="1"/>
  <c r="M125" i="3" s="1"/>
  <c r="M126" i="3" s="1"/>
  <c r="P116" i="3" s="1"/>
  <c r="P117" i="3" s="1"/>
  <c r="P118" i="3" s="1"/>
  <c r="P119" i="3" s="1"/>
  <c r="P120" i="3" s="1"/>
  <c r="P121" i="3" s="1"/>
  <c r="P122" i="3" s="1"/>
  <c r="P123" i="3" s="1"/>
  <c r="P124" i="3" s="1"/>
  <c r="P125" i="3" s="1"/>
  <c r="P126" i="3" s="1"/>
  <c r="S116" i="3" s="1"/>
  <c r="S117" i="3" s="1"/>
  <c r="S118" i="3" s="1"/>
  <c r="S119" i="3" s="1"/>
  <c r="S120" i="3" s="1"/>
  <c r="S121" i="3" s="1"/>
  <c r="S122" i="3" s="1"/>
  <c r="S123" i="3" s="1"/>
  <c r="S124" i="3" s="1"/>
  <c r="S125" i="3" s="1"/>
  <c r="S126" i="3" s="1"/>
  <c r="V116" i="3" s="1"/>
  <c r="V117" i="3" s="1"/>
  <c r="V118" i="3" s="1"/>
  <c r="V119" i="3" s="1"/>
  <c r="V120" i="3" s="1"/>
  <c r="V121" i="3" s="1"/>
  <c r="V122" i="3" s="1"/>
  <c r="V123" i="3" s="1"/>
  <c r="V124" i="3" s="1"/>
  <c r="V125" i="3" s="1"/>
  <c r="V126" i="3" s="1"/>
  <c r="D128" i="3" s="1"/>
  <c r="D129" i="3" s="1"/>
  <c r="D130" i="3" s="1"/>
  <c r="D131" i="3" s="1"/>
  <c r="D132" i="3" s="1"/>
  <c r="D133" i="3" s="1"/>
  <c r="D134" i="3" s="1"/>
  <c r="D135" i="3" s="1"/>
  <c r="D136" i="3" s="1"/>
  <c r="D137" i="3" s="1"/>
  <c r="D138" i="3" s="1"/>
  <c r="G128" i="3" s="1"/>
  <c r="G129" i="3" s="1"/>
  <c r="G130" i="3" s="1"/>
  <c r="G131" i="3" s="1"/>
  <c r="G132" i="3" s="1"/>
  <c r="G133" i="3" s="1"/>
  <c r="G134" i="3" s="1"/>
  <c r="G135" i="3" s="1"/>
  <c r="G136" i="3" s="1"/>
  <c r="G137" i="3" s="1"/>
  <c r="G138" i="3" s="1"/>
  <c r="J128" i="3" s="1"/>
  <c r="J129" i="3" s="1"/>
  <c r="J130" i="3" s="1"/>
  <c r="J131" i="3" s="1"/>
  <c r="J132" i="3" s="1"/>
  <c r="J133" i="3" s="1"/>
  <c r="J134" i="3" s="1"/>
  <c r="J135" i="3" s="1"/>
  <c r="J136" i="3" s="1"/>
  <c r="J137" i="3" s="1"/>
  <c r="J138" i="3" s="1"/>
  <c r="M128" i="3" s="1"/>
  <c r="M129" i="3" s="1"/>
  <c r="M130" i="3" s="1"/>
  <c r="M131" i="3" s="1"/>
  <c r="M132" i="3" s="1"/>
  <c r="M133" i="3" s="1"/>
  <c r="M134" i="3" s="1"/>
  <c r="M135" i="3" s="1"/>
  <c r="M136" i="3" s="1"/>
  <c r="M137" i="3" s="1"/>
  <c r="M138" i="3" s="1"/>
  <c r="P128" i="3" s="1"/>
  <c r="P129" i="3" s="1"/>
  <c r="P130" i="3" s="1"/>
  <c r="P131" i="3" s="1"/>
  <c r="P132" i="3" s="1"/>
  <c r="P133" i="3" s="1"/>
  <c r="P134" i="3" s="1"/>
  <c r="P135" i="3" s="1"/>
  <c r="P136" i="3" s="1"/>
  <c r="P137" i="3" s="1"/>
  <c r="P138" i="3" s="1"/>
  <c r="S128" i="3" s="1"/>
  <c r="S129" i="3" s="1"/>
  <c r="S130" i="3" s="1"/>
  <c r="S131" i="3" s="1"/>
  <c r="S132" i="3" s="1"/>
  <c r="S133" i="3" s="1"/>
  <c r="S134" i="3" s="1"/>
  <c r="S135" i="3" s="1"/>
  <c r="S136" i="3" s="1"/>
  <c r="S137" i="3" s="1"/>
  <c r="S138" i="3" s="1"/>
  <c r="V128" i="3" s="1"/>
  <c r="V129" i="3" s="1"/>
  <c r="V130" i="3" s="1"/>
  <c r="V131" i="3" s="1"/>
  <c r="V132" i="3" s="1"/>
  <c r="V133" i="3" s="1"/>
  <c r="V134" i="3" s="1"/>
  <c r="V135" i="3" s="1"/>
  <c r="V136" i="3" s="1"/>
  <c r="V137" i="3" s="1"/>
  <c r="V138" i="3" s="1"/>
  <c r="D140" i="3" s="1"/>
  <c r="D141" i="3" s="1"/>
  <c r="D142" i="3" s="1"/>
  <c r="D143" i="3" s="1"/>
  <c r="D144" i="3" s="1"/>
  <c r="D145" i="3" s="1"/>
  <c r="D146" i="3" s="1"/>
  <c r="D147" i="3" s="1"/>
  <c r="D148" i="3" s="1"/>
  <c r="D149" i="3" s="1"/>
  <c r="D150" i="3" s="1"/>
  <c r="G140" i="3" s="1"/>
  <c r="G141" i="3" s="1"/>
  <c r="G142" i="3" s="1"/>
  <c r="G143" i="3" s="1"/>
  <c r="G144" i="3" s="1"/>
  <c r="G145" i="3" s="1"/>
  <c r="G146" i="3" s="1"/>
  <c r="G147" i="3" s="1"/>
  <c r="G148" i="3" s="1"/>
  <c r="G149" i="3" s="1"/>
  <c r="G150" i="3" s="1"/>
  <c r="J140" i="3" s="1"/>
  <c r="J141" i="3" s="1"/>
  <c r="J142" i="3" s="1"/>
  <c r="J143" i="3" s="1"/>
  <c r="J144" i="3" s="1"/>
  <c r="J145" i="3" s="1"/>
  <c r="J146" i="3" s="1"/>
  <c r="J147" i="3" s="1"/>
  <c r="J148" i="3" s="1"/>
  <c r="J149" i="3" s="1"/>
  <c r="J150" i="3" s="1"/>
  <c r="M140" i="3" s="1"/>
  <c r="M141" i="3" s="1"/>
  <c r="M142" i="3" s="1"/>
  <c r="M143" i="3" s="1"/>
  <c r="M144" i="3" s="1"/>
  <c r="M145" i="3" s="1"/>
  <c r="M146" i="3" s="1"/>
  <c r="M147" i="3" s="1"/>
  <c r="M148" i="3" s="1"/>
  <c r="M149" i="3" s="1"/>
  <c r="M150" i="3" s="1"/>
  <c r="P140" i="3" s="1"/>
  <c r="P141" i="3" s="1"/>
  <c r="P142" i="3" s="1"/>
  <c r="P143" i="3" s="1"/>
  <c r="P144" i="3" s="1"/>
  <c r="P145" i="3" s="1"/>
  <c r="P146" i="3" s="1"/>
  <c r="P147" i="3" s="1"/>
  <c r="P148" i="3" s="1"/>
  <c r="P149" i="3" s="1"/>
  <c r="P150" i="3" s="1"/>
  <c r="S140" i="3" s="1"/>
  <c r="S141" i="3" s="1"/>
  <c r="S142" i="3" s="1"/>
  <c r="S143" i="3" s="1"/>
  <c r="S144" i="3" s="1"/>
  <c r="S145" i="3" s="1"/>
  <c r="S146" i="3" s="1"/>
  <c r="S147" i="3" s="1"/>
  <c r="S148" i="3" s="1"/>
  <c r="S149" i="3" s="1"/>
  <c r="S150" i="3" s="1"/>
  <c r="V140" i="3" s="1"/>
  <c r="V141" i="3" s="1"/>
  <c r="V142" i="3" s="1"/>
  <c r="V143" i="3" s="1"/>
  <c r="V144" i="3" s="1"/>
  <c r="V145" i="3" s="1"/>
  <c r="V146" i="3" s="1"/>
  <c r="V147" i="3" s="1"/>
  <c r="V148" i="3" s="1"/>
  <c r="V149" i="3" s="1"/>
  <c r="V150" i="3" s="1"/>
  <c r="D152" i="3" s="1"/>
  <c r="D153" i="3" s="1"/>
  <c r="D154" i="3" s="1"/>
  <c r="D155" i="3" s="1"/>
  <c r="D156" i="3" s="1"/>
  <c r="D157" i="3" s="1"/>
  <c r="D158" i="3" s="1"/>
  <c r="D159" i="3" s="1"/>
  <c r="D160" i="3" s="1"/>
  <c r="D161" i="3" s="1"/>
  <c r="D162" i="3" s="1"/>
  <c r="G152" i="3" s="1"/>
  <c r="G153" i="3" s="1"/>
  <c r="G154" i="3" s="1"/>
  <c r="G155" i="3" s="1"/>
  <c r="G156" i="3" s="1"/>
  <c r="G157" i="3" s="1"/>
  <c r="G158" i="3" s="1"/>
  <c r="G159" i="3" s="1"/>
  <c r="G160" i="3" s="1"/>
  <c r="G161" i="3" s="1"/>
  <c r="G162" i="3" s="1"/>
  <c r="J152" i="3" s="1"/>
  <c r="J153" i="3" s="1"/>
  <c r="J154" i="3" s="1"/>
  <c r="J155" i="3" s="1"/>
  <c r="J156" i="3" s="1"/>
  <c r="J157" i="3" s="1"/>
  <c r="J158" i="3" s="1"/>
  <c r="J159" i="3" s="1"/>
  <c r="J160" i="3" s="1"/>
  <c r="J161" i="3" s="1"/>
  <c r="J162" i="3" s="1"/>
  <c r="M152" i="3" s="1"/>
  <c r="M153" i="3" s="1"/>
  <c r="M154" i="3" s="1"/>
  <c r="M155" i="3" s="1"/>
  <c r="M156" i="3" s="1"/>
  <c r="M157" i="3" s="1"/>
  <c r="M158" i="3" s="1"/>
  <c r="M159" i="3" s="1"/>
  <c r="M160" i="3" s="1"/>
  <c r="M161" i="3" s="1"/>
  <c r="M162" i="3" s="1"/>
  <c r="P152" i="3" s="1"/>
  <c r="P153" i="3" s="1"/>
  <c r="P154" i="3" s="1"/>
  <c r="P155" i="3" s="1"/>
  <c r="P156" i="3" s="1"/>
  <c r="P157" i="3" s="1"/>
  <c r="P158" i="3" s="1"/>
  <c r="P159" i="3" s="1"/>
  <c r="P160" i="3" s="1"/>
  <c r="P161" i="3" s="1"/>
  <c r="P162" i="3" s="1"/>
  <c r="S152" i="3" s="1"/>
  <c r="S153" i="3" s="1"/>
  <c r="S154" i="3" s="1"/>
  <c r="S155" i="3" s="1"/>
  <c r="S156" i="3" s="1"/>
  <c r="S157" i="3" s="1"/>
  <c r="S158" i="3" s="1"/>
  <c r="S159" i="3" s="1"/>
  <c r="S160" i="3" s="1"/>
  <c r="S161" i="3" s="1"/>
  <c r="S162" i="3" s="1"/>
  <c r="V152" i="3" s="1"/>
  <c r="V153" i="3" s="1"/>
  <c r="V154" i="3" s="1"/>
  <c r="V155" i="3" s="1"/>
  <c r="V156" i="3" s="1"/>
  <c r="V157" i="3" s="1"/>
  <c r="V158" i="3" s="1"/>
  <c r="V159" i="3" s="1"/>
  <c r="V160" i="3" s="1"/>
  <c r="V161" i="3" s="1"/>
  <c r="V162" i="3" s="1"/>
  <c r="D164" i="3" s="1"/>
  <c r="D165" i="3" s="1"/>
  <c r="D166" i="3" s="1"/>
  <c r="D167" i="3" s="1"/>
  <c r="D168" i="3" s="1"/>
  <c r="D169" i="3" s="1"/>
  <c r="D170" i="3" s="1"/>
  <c r="D171" i="3" s="1"/>
  <c r="D172" i="3" s="1"/>
  <c r="D173" i="3" s="1"/>
  <c r="D174" i="3" s="1"/>
  <c r="G164" i="3" s="1"/>
  <c r="G165" i="3" s="1"/>
  <c r="G166" i="3" s="1"/>
  <c r="G167" i="3" s="1"/>
  <c r="G168" i="3" s="1"/>
  <c r="G169" i="3" s="1"/>
  <c r="G170" i="3" s="1"/>
  <c r="G171" i="3" s="1"/>
  <c r="G172" i="3" s="1"/>
  <c r="G173" i="3" s="1"/>
  <c r="G174" i="3" s="1"/>
  <c r="J164" i="3" s="1"/>
  <c r="J165" i="3" s="1"/>
  <c r="J166" i="3" s="1"/>
  <c r="J167" i="3" s="1"/>
  <c r="J168" i="3" s="1"/>
  <c r="J169" i="3" s="1"/>
  <c r="J170" i="3" s="1"/>
  <c r="J171" i="3" s="1"/>
  <c r="J172" i="3" s="1"/>
  <c r="J173" i="3" s="1"/>
  <c r="J174" i="3" s="1"/>
  <c r="M164" i="3" s="1"/>
  <c r="M165" i="3" s="1"/>
  <c r="M166" i="3" s="1"/>
  <c r="M167" i="3" s="1"/>
  <c r="M168" i="3" s="1"/>
  <c r="M169" i="3" s="1"/>
  <c r="M170" i="3" s="1"/>
  <c r="M171" i="3" s="1"/>
  <c r="M172" i="3" s="1"/>
  <c r="M173" i="3" s="1"/>
  <c r="M174" i="3" s="1"/>
  <c r="P164" i="3" s="1"/>
  <c r="P165" i="3" s="1"/>
  <c r="P166" i="3" s="1"/>
  <c r="P167" i="3" s="1"/>
  <c r="P168" i="3" s="1"/>
  <c r="P169" i="3" s="1"/>
  <c r="P170" i="3" s="1"/>
  <c r="P171" i="3" s="1"/>
  <c r="P172" i="3" s="1"/>
  <c r="P173" i="3" s="1"/>
  <c r="P174" i="3" s="1"/>
  <c r="S164" i="3" s="1"/>
  <c r="S165" i="3" s="1"/>
  <c r="S166" i="3" s="1"/>
  <c r="S167" i="3" s="1"/>
  <c r="S168" i="3" s="1"/>
  <c r="S169" i="3" s="1"/>
  <c r="S170" i="3" s="1"/>
  <c r="S171" i="3" s="1"/>
  <c r="S172" i="3" s="1"/>
  <c r="S173" i="3" s="1"/>
  <c r="S174" i="3" s="1"/>
  <c r="V164" i="3" s="1"/>
  <c r="V165" i="3" s="1"/>
  <c r="V166" i="3" s="1"/>
  <c r="V167" i="3" s="1"/>
  <c r="V168" i="3" s="1"/>
  <c r="V169" i="3" s="1"/>
  <c r="V170" i="3" s="1"/>
  <c r="V171" i="3" s="1"/>
  <c r="V172" i="3" s="1"/>
  <c r="V173" i="3" s="1"/>
  <c r="V174" i="3" s="1"/>
  <c r="D176" i="3" s="1"/>
  <c r="D177" i="3" s="1"/>
  <c r="D178" i="3" s="1"/>
  <c r="D179" i="3" s="1"/>
  <c r="D180" i="3" s="1"/>
  <c r="D181" i="3" s="1"/>
  <c r="D182" i="3" s="1"/>
  <c r="D183" i="3" s="1"/>
  <c r="D184" i="3" s="1"/>
  <c r="D185" i="3" s="1"/>
  <c r="D186" i="3" s="1"/>
  <c r="G176" i="3" s="1"/>
  <c r="G177" i="3" s="1"/>
  <c r="G178" i="3" s="1"/>
  <c r="G179" i="3" s="1"/>
  <c r="G180" i="3" s="1"/>
  <c r="G181" i="3" s="1"/>
  <c r="G182" i="3" s="1"/>
  <c r="G183" i="3" s="1"/>
  <c r="G184" i="3" s="1"/>
  <c r="G185" i="3" s="1"/>
  <c r="G186" i="3" s="1"/>
  <c r="J176" i="3" s="1"/>
  <c r="J177" i="3" s="1"/>
  <c r="J178" i="3" s="1"/>
  <c r="J179" i="3" s="1"/>
  <c r="J180" i="3" s="1"/>
  <c r="J181" i="3" s="1"/>
  <c r="J182" i="3" s="1"/>
  <c r="J183" i="3" s="1"/>
  <c r="J184" i="3" s="1"/>
  <c r="J185" i="3" s="1"/>
  <c r="J186" i="3" s="1"/>
  <c r="M176" i="3" s="1"/>
  <c r="M177" i="3" s="1"/>
  <c r="M178" i="3" s="1"/>
  <c r="M179" i="3" s="1"/>
  <c r="M180" i="3" s="1"/>
  <c r="M181" i="3" s="1"/>
  <c r="M182" i="3" s="1"/>
  <c r="M183" i="3" s="1"/>
  <c r="M184" i="3" s="1"/>
  <c r="M185" i="3" s="1"/>
  <c r="M186" i="3" s="1"/>
  <c r="P176" i="3" s="1"/>
  <c r="P177" i="3" s="1"/>
  <c r="P178" i="3" s="1"/>
  <c r="P179" i="3" s="1"/>
  <c r="P180" i="3" s="1"/>
  <c r="P181" i="3" s="1"/>
  <c r="P182" i="3" s="1"/>
  <c r="P183" i="3" s="1"/>
  <c r="P184" i="3" s="1"/>
  <c r="P185" i="3" s="1"/>
  <c r="P186" i="3" s="1"/>
  <c r="S176" i="3" s="1"/>
  <c r="S177" i="3" s="1"/>
  <c r="S178" i="3" s="1"/>
  <c r="S179" i="3" s="1"/>
  <c r="S180" i="3" s="1"/>
  <c r="S181" i="3" s="1"/>
  <c r="S182" i="3" s="1"/>
  <c r="S183" i="3" s="1"/>
  <c r="S184" i="3" s="1"/>
  <c r="S185" i="3" s="1"/>
  <c r="S186" i="3" s="1"/>
  <c r="V176" i="3" s="1"/>
  <c r="V177" i="3" s="1"/>
  <c r="V178" i="3" s="1"/>
  <c r="V179" i="3" s="1"/>
  <c r="V180" i="3" s="1"/>
  <c r="V181" i="3" s="1"/>
  <c r="V182" i="3" s="1"/>
  <c r="V183" i="3" s="1"/>
  <c r="V184" i="3" s="1"/>
  <c r="V185" i="3" s="1"/>
  <c r="V186" i="3" s="1"/>
  <c r="D188" i="3" s="1"/>
  <c r="D189" i="3" s="1"/>
  <c r="D190" i="3" s="1"/>
  <c r="D191" i="3" s="1"/>
  <c r="D192" i="3" s="1"/>
  <c r="D193" i="3" s="1"/>
  <c r="D194" i="3" s="1"/>
  <c r="D195" i="3" s="1"/>
  <c r="D196" i="3" s="1"/>
  <c r="D197" i="3" s="1"/>
  <c r="D198" i="3" s="1"/>
  <c r="G188" i="3" s="1"/>
  <c r="G189" i="3" s="1"/>
  <c r="G190" i="3" s="1"/>
  <c r="G191" i="3" s="1"/>
  <c r="G192" i="3" s="1"/>
  <c r="G193" i="3" s="1"/>
  <c r="G194" i="3" s="1"/>
  <c r="G195" i="3" s="1"/>
  <c r="G196" i="3" s="1"/>
  <c r="G197" i="3" s="1"/>
  <c r="G198" i="3" s="1"/>
  <c r="J188" i="3" s="1"/>
  <c r="J189" i="3" s="1"/>
  <c r="J190" i="3" s="1"/>
  <c r="J191" i="3" s="1"/>
  <c r="J192" i="3" s="1"/>
  <c r="J193" i="3" s="1"/>
  <c r="J194" i="3" s="1"/>
  <c r="J195" i="3" s="1"/>
  <c r="J196" i="3" s="1"/>
  <c r="J197" i="3" s="1"/>
  <c r="J198" i="3" s="1"/>
  <c r="M188" i="3" s="1"/>
  <c r="M189" i="3" s="1"/>
  <c r="M190" i="3" s="1"/>
  <c r="M191" i="3" s="1"/>
  <c r="M192" i="3" s="1"/>
  <c r="M193" i="3" s="1"/>
  <c r="M194" i="3" s="1"/>
  <c r="M195" i="3" s="1"/>
  <c r="M196" i="3" s="1"/>
  <c r="M197" i="3" s="1"/>
  <c r="M198" i="3" s="1"/>
  <c r="P188" i="3" s="1"/>
  <c r="P189" i="3" s="1"/>
  <c r="P190" i="3" s="1"/>
  <c r="P191" i="3" s="1"/>
  <c r="P192" i="3" s="1"/>
  <c r="P193" i="3" s="1"/>
  <c r="P194" i="3" s="1"/>
  <c r="P195" i="3" s="1"/>
  <c r="P196" i="3" s="1"/>
  <c r="P197" i="3" s="1"/>
  <c r="P198" i="3" s="1"/>
  <c r="S188" i="3" s="1"/>
  <c r="S189" i="3" s="1"/>
  <c r="S190" i="3" s="1"/>
  <c r="S191" i="3" s="1"/>
  <c r="S192" i="3" s="1"/>
  <c r="S193" i="3" s="1"/>
  <c r="S194" i="3" s="1"/>
  <c r="S195" i="3" s="1"/>
  <c r="S196" i="3" s="1"/>
  <c r="S197" i="3" s="1"/>
  <c r="S198" i="3" s="1"/>
  <c r="V188" i="3" s="1"/>
  <c r="V189" i="3" s="1"/>
  <c r="V190" i="3" s="1"/>
  <c r="V191" i="3" s="1"/>
  <c r="V192" i="3" s="1"/>
  <c r="V193" i="3" s="1"/>
  <c r="V194" i="3" s="1"/>
  <c r="V195" i="3" s="1"/>
  <c r="V196" i="3" s="1"/>
  <c r="V197" i="3" s="1"/>
  <c r="V198" i="3" s="1"/>
  <c r="D200" i="3" s="1"/>
  <c r="D201" i="3" s="1"/>
  <c r="D202" i="3" s="1"/>
  <c r="D203" i="3" s="1"/>
  <c r="D204" i="3" s="1"/>
  <c r="D205" i="3" s="1"/>
  <c r="D206" i="3" s="1"/>
  <c r="D207" i="3" s="1"/>
  <c r="D208" i="3" s="1"/>
  <c r="D209" i="3" s="1"/>
  <c r="D210" i="3" s="1"/>
  <c r="G200" i="3" s="1"/>
  <c r="G201" i="3" s="1"/>
  <c r="G202" i="3" s="1"/>
  <c r="G203" i="3" s="1"/>
  <c r="G204" i="3" s="1"/>
  <c r="G205" i="3" s="1"/>
  <c r="G206" i="3" s="1"/>
  <c r="G207" i="3" s="1"/>
  <c r="G208" i="3" s="1"/>
  <c r="G209" i="3" s="1"/>
  <c r="G210" i="3" s="1"/>
  <c r="J200" i="3" s="1"/>
  <c r="J201" i="3" s="1"/>
  <c r="J202" i="3" s="1"/>
  <c r="J203" i="3" s="1"/>
  <c r="J204" i="3" s="1"/>
  <c r="J205" i="3" s="1"/>
  <c r="J206" i="3" s="1"/>
  <c r="J207" i="3" s="1"/>
  <c r="J208" i="3" s="1"/>
  <c r="J209" i="3" s="1"/>
  <c r="J210" i="3" s="1"/>
  <c r="M200" i="3" s="1"/>
  <c r="M201" i="3" s="1"/>
  <c r="M202" i="3" s="1"/>
  <c r="M203" i="3" s="1"/>
  <c r="M204" i="3" s="1"/>
  <c r="M205" i="3" s="1"/>
  <c r="M206" i="3" s="1"/>
  <c r="M207" i="3" s="1"/>
  <c r="M208" i="3" s="1"/>
  <c r="M209" i="3" s="1"/>
  <c r="M210" i="3" s="1"/>
  <c r="P200" i="3" s="1"/>
  <c r="P201" i="3" s="1"/>
  <c r="P202" i="3" s="1"/>
  <c r="P203" i="3" s="1"/>
  <c r="P204" i="3" s="1"/>
  <c r="P205" i="3" s="1"/>
  <c r="P206" i="3" s="1"/>
  <c r="P207" i="3" s="1"/>
  <c r="P208" i="3" s="1"/>
  <c r="P209" i="3" s="1"/>
  <c r="P210" i="3" s="1"/>
  <c r="S200" i="3" s="1"/>
  <c r="S201" i="3" s="1"/>
  <c r="S202" i="3" s="1"/>
  <c r="S203" i="3" s="1"/>
  <c r="S204" i="3" s="1"/>
  <c r="S205" i="3" s="1"/>
  <c r="S206" i="3" s="1"/>
  <c r="S207" i="3" s="1"/>
  <c r="S208" i="3" s="1"/>
  <c r="S209" i="3" s="1"/>
  <c r="S210" i="3" s="1"/>
  <c r="V200" i="3" s="1"/>
  <c r="V201" i="3" s="1"/>
  <c r="V202" i="3" s="1"/>
  <c r="V203" i="3" s="1"/>
  <c r="V204" i="3" s="1"/>
  <c r="V205" i="3" s="1"/>
  <c r="V206" i="3" s="1"/>
  <c r="V207" i="3" s="1"/>
  <c r="V208" i="3" s="1"/>
  <c r="V209" i="3" s="1"/>
  <c r="V210" i="3" s="1"/>
  <c r="D212" i="3" s="1"/>
  <c r="D213" i="3" s="1"/>
  <c r="D214" i="3" s="1"/>
  <c r="D215" i="3" s="1"/>
  <c r="D216" i="3" s="1"/>
  <c r="D217" i="3" s="1"/>
  <c r="D218" i="3" s="1"/>
  <c r="D219" i="3" s="1"/>
  <c r="D220" i="3" s="1"/>
  <c r="D221" i="3" s="1"/>
  <c r="D222" i="3" s="1"/>
  <c r="G212" i="3" s="1"/>
  <c r="G213" i="3" s="1"/>
  <c r="G214" i="3" s="1"/>
  <c r="G215" i="3" s="1"/>
  <c r="G216" i="3" s="1"/>
  <c r="G217" i="3" s="1"/>
  <c r="G218" i="3" s="1"/>
  <c r="G219" i="3" s="1"/>
  <c r="G220" i="3" s="1"/>
  <c r="G221" i="3" s="1"/>
  <c r="G222" i="3" s="1"/>
  <c r="J212" i="3" s="1"/>
  <c r="J213" i="3" s="1"/>
  <c r="J214" i="3" s="1"/>
  <c r="J215" i="3" s="1"/>
  <c r="J216" i="3" s="1"/>
  <c r="J217" i="3" s="1"/>
  <c r="J218" i="3" s="1"/>
  <c r="J219" i="3" s="1"/>
  <c r="J220" i="3" s="1"/>
  <c r="J221" i="3" s="1"/>
  <c r="J222" i="3" s="1"/>
  <c r="M212" i="3" s="1"/>
  <c r="M213" i="3" s="1"/>
  <c r="M214" i="3" s="1"/>
  <c r="M215" i="3" s="1"/>
  <c r="M216" i="3" s="1"/>
  <c r="M217" i="3" s="1"/>
  <c r="M218" i="3" s="1"/>
  <c r="M219" i="3" s="1"/>
  <c r="M220" i="3" s="1"/>
  <c r="M221" i="3" s="1"/>
  <c r="M222" i="3" s="1"/>
  <c r="P212" i="3" s="1"/>
  <c r="P213" i="3" s="1"/>
  <c r="P214" i="3" s="1"/>
  <c r="P215" i="3" s="1"/>
  <c r="P216" i="3" s="1"/>
  <c r="P217" i="3" s="1"/>
  <c r="P218" i="3" s="1"/>
  <c r="P219" i="3" s="1"/>
  <c r="P220" i="3" s="1"/>
  <c r="P221" i="3" s="1"/>
  <c r="P222" i="3" s="1"/>
  <c r="S212" i="3" s="1"/>
  <c r="S213" i="3" s="1"/>
  <c r="S214" i="3" s="1"/>
  <c r="S215" i="3" s="1"/>
  <c r="S216" i="3" s="1"/>
  <c r="S217" i="3" s="1"/>
  <c r="S218" i="3" s="1"/>
  <c r="S219" i="3" s="1"/>
  <c r="S220" i="3" s="1"/>
  <c r="S221" i="3" s="1"/>
  <c r="S222" i="3" s="1"/>
  <c r="V212" i="3" s="1"/>
  <c r="V213" i="3" s="1"/>
  <c r="V214" i="3" s="1"/>
  <c r="V215" i="3" s="1"/>
  <c r="V216" i="3" s="1"/>
  <c r="V217" i="3" s="1"/>
  <c r="V218" i="3" s="1"/>
  <c r="V219" i="3" s="1"/>
  <c r="V220" i="3" s="1"/>
  <c r="V221" i="3" s="1"/>
  <c r="V222" i="3" s="1"/>
  <c r="D224" i="3" s="1"/>
  <c r="D225" i="3" s="1"/>
  <c r="D226" i="3" s="1"/>
  <c r="D227" i="3" s="1"/>
  <c r="D228" i="3" s="1"/>
  <c r="D229" i="3" s="1"/>
  <c r="D230" i="3" s="1"/>
  <c r="D231" i="3" s="1"/>
  <c r="D232" i="3" s="1"/>
  <c r="D233" i="3" s="1"/>
  <c r="D234" i="3" s="1"/>
  <c r="G224" i="3" s="1"/>
  <c r="G225" i="3" s="1"/>
  <c r="G226" i="3" s="1"/>
  <c r="G227" i="3" s="1"/>
  <c r="G228" i="3" s="1"/>
  <c r="G229" i="3" s="1"/>
  <c r="G230" i="3" s="1"/>
  <c r="G231" i="3" s="1"/>
  <c r="G232" i="3" s="1"/>
  <c r="G233" i="3" s="1"/>
  <c r="G234" i="3" s="1"/>
  <c r="J224" i="3" s="1"/>
  <c r="J225" i="3" s="1"/>
  <c r="J226" i="3" s="1"/>
  <c r="J227" i="3" s="1"/>
  <c r="J228" i="3" s="1"/>
  <c r="J229" i="3" s="1"/>
  <c r="J230" i="3" s="1"/>
  <c r="J231" i="3" s="1"/>
  <c r="J232" i="3" s="1"/>
  <c r="J233" i="3" s="1"/>
  <c r="J234" i="3" s="1"/>
  <c r="M224" i="3" s="1"/>
  <c r="M225" i="3" s="1"/>
  <c r="M226" i="3" s="1"/>
  <c r="M227" i="3" s="1"/>
  <c r="M228" i="3" s="1"/>
  <c r="M229" i="3" s="1"/>
  <c r="M230" i="3" s="1"/>
  <c r="M231" i="3" s="1"/>
  <c r="M232" i="3" s="1"/>
  <c r="M233" i="3" s="1"/>
  <c r="M234" i="3" s="1"/>
  <c r="P224" i="3" s="1"/>
  <c r="P225" i="3" s="1"/>
  <c r="P226" i="3" s="1"/>
  <c r="P227" i="3" s="1"/>
  <c r="P228" i="3" s="1"/>
  <c r="P229" i="3" s="1"/>
  <c r="P230" i="3" s="1"/>
  <c r="P231" i="3" s="1"/>
  <c r="P232" i="3" s="1"/>
  <c r="P233" i="3" s="1"/>
  <c r="P234" i="3" s="1"/>
  <c r="S224" i="3" s="1"/>
  <c r="S225" i="3" s="1"/>
  <c r="S226" i="3" s="1"/>
  <c r="S227" i="3" s="1"/>
  <c r="S228" i="3" s="1"/>
  <c r="S229" i="3" s="1"/>
  <c r="S230" i="3" s="1"/>
  <c r="S231" i="3" s="1"/>
  <c r="S232" i="3" s="1"/>
  <c r="S233" i="3" s="1"/>
  <c r="S234" i="3" s="1"/>
  <c r="V224" i="3" s="1"/>
  <c r="V225" i="3" s="1"/>
  <c r="V226" i="3" s="1"/>
  <c r="V227" i="3" s="1"/>
  <c r="V228" i="3" s="1"/>
  <c r="V229" i="3" s="1"/>
  <c r="V230" i="3" s="1"/>
  <c r="V231" i="3" s="1"/>
  <c r="V232" i="3" s="1"/>
  <c r="V233" i="3" s="1"/>
  <c r="V234" i="3" s="1"/>
  <c r="D236" i="3" s="1"/>
  <c r="D237" i="3" s="1"/>
  <c r="D238" i="3" s="1"/>
  <c r="D239" i="3" s="1"/>
  <c r="D240" i="3" s="1"/>
  <c r="D241" i="3" s="1"/>
  <c r="D242" i="3" s="1"/>
  <c r="D243" i="3" s="1"/>
  <c r="D244" i="3" s="1"/>
  <c r="D245" i="3" s="1"/>
  <c r="D246" i="3" s="1"/>
  <c r="G236" i="3" s="1"/>
  <c r="G237" i="3" s="1"/>
  <c r="G238" i="3" s="1"/>
  <c r="G239" i="3" s="1"/>
  <c r="G240" i="3" s="1"/>
  <c r="G241" i="3" s="1"/>
  <c r="G242" i="3" s="1"/>
  <c r="G243" i="3" s="1"/>
  <c r="G244" i="3" s="1"/>
  <c r="G245" i="3" s="1"/>
  <c r="G246" i="3" s="1"/>
  <c r="J236" i="3" s="1"/>
  <c r="J237" i="3" s="1"/>
  <c r="J238" i="3" s="1"/>
  <c r="J239" i="3" s="1"/>
  <c r="J240" i="3" s="1"/>
  <c r="J241" i="3" s="1"/>
  <c r="J242" i="3" s="1"/>
  <c r="J243" i="3" s="1"/>
  <c r="J244" i="3" s="1"/>
  <c r="J245" i="3" s="1"/>
  <c r="J246" i="3" s="1"/>
  <c r="M236" i="3" s="1"/>
  <c r="M237" i="3" s="1"/>
  <c r="M238" i="3" s="1"/>
  <c r="M239" i="3" s="1"/>
  <c r="M240" i="3" s="1"/>
  <c r="M241" i="3" s="1"/>
  <c r="M242" i="3" s="1"/>
  <c r="M243" i="3" s="1"/>
  <c r="M244" i="3" s="1"/>
  <c r="M245" i="3" s="1"/>
  <c r="M246" i="3" s="1"/>
  <c r="P236" i="3" s="1"/>
  <c r="P237" i="3" s="1"/>
  <c r="P238" i="3" s="1"/>
  <c r="P239" i="3" s="1"/>
  <c r="P240" i="3" s="1"/>
  <c r="P241" i="3" s="1"/>
  <c r="P242" i="3" s="1"/>
  <c r="P243" i="3" s="1"/>
  <c r="P244" i="3" s="1"/>
  <c r="P245" i="3" s="1"/>
  <c r="P246" i="3" s="1"/>
  <c r="S236" i="3" s="1"/>
  <c r="S237" i="3" s="1"/>
  <c r="S238" i="3" s="1"/>
  <c r="S239" i="3" s="1"/>
  <c r="S240" i="3" s="1"/>
  <c r="S241" i="3" s="1"/>
  <c r="S242" i="3" s="1"/>
  <c r="S243" i="3" s="1"/>
  <c r="S244" i="3" s="1"/>
  <c r="S245" i="3" s="1"/>
  <c r="S246" i="3" s="1"/>
  <c r="V236" i="3" s="1"/>
  <c r="V237" i="3" s="1"/>
  <c r="V238" i="3" s="1"/>
  <c r="V239" i="3" s="1"/>
  <c r="V240" i="3" s="1"/>
  <c r="V241" i="3" s="1"/>
  <c r="V242" i="3" s="1"/>
  <c r="V243" i="3" s="1"/>
  <c r="V244" i="3" s="1"/>
  <c r="V245" i="3" s="1"/>
  <c r="V246" i="3" s="1"/>
  <c r="D248" i="3" s="1"/>
  <c r="D249" i="3" s="1"/>
  <c r="D250" i="3" s="1"/>
  <c r="D251" i="3" s="1"/>
  <c r="D252" i="3" s="1"/>
  <c r="D253" i="3" s="1"/>
  <c r="D254" i="3" s="1"/>
  <c r="D255" i="3" s="1"/>
  <c r="D256" i="3" s="1"/>
  <c r="D257" i="3" s="1"/>
  <c r="D258" i="3" s="1"/>
  <c r="G248" i="3" s="1"/>
  <c r="G249" i="3" s="1"/>
  <c r="G250" i="3" s="1"/>
  <c r="G251" i="3" s="1"/>
  <c r="G252" i="3" s="1"/>
  <c r="G253" i="3" s="1"/>
  <c r="G254" i="3" s="1"/>
  <c r="G255" i="3" s="1"/>
  <c r="G256" i="3" s="1"/>
  <c r="G257" i="3" s="1"/>
  <c r="G258" i="3" s="1"/>
  <c r="J248" i="3" s="1"/>
  <c r="J249" i="3" s="1"/>
  <c r="J250" i="3" s="1"/>
  <c r="J251" i="3" s="1"/>
  <c r="J252" i="3" s="1"/>
  <c r="J253" i="3" s="1"/>
  <c r="J254" i="3" s="1"/>
  <c r="J255" i="3" s="1"/>
  <c r="J256" i="3" s="1"/>
  <c r="J257" i="3" s="1"/>
  <c r="J258" i="3" s="1"/>
  <c r="M248" i="3" s="1"/>
  <c r="M249" i="3" s="1"/>
  <c r="M250" i="3" s="1"/>
  <c r="M251" i="3" s="1"/>
  <c r="M252" i="3" s="1"/>
  <c r="M253" i="3" s="1"/>
  <c r="M254" i="3" s="1"/>
  <c r="M255" i="3" s="1"/>
  <c r="M256" i="3" s="1"/>
  <c r="M257" i="3" s="1"/>
  <c r="M258" i="3" s="1"/>
  <c r="P248" i="3" s="1"/>
  <c r="P249" i="3" s="1"/>
  <c r="P250" i="3" s="1"/>
  <c r="P251" i="3" s="1"/>
  <c r="P252" i="3" s="1"/>
  <c r="P253" i="3" s="1"/>
  <c r="P254" i="3" s="1"/>
  <c r="P255" i="3" s="1"/>
  <c r="P256" i="3" s="1"/>
  <c r="P257" i="3" s="1"/>
  <c r="P258" i="3" s="1"/>
  <c r="S248" i="3" s="1"/>
  <c r="S249" i="3" s="1"/>
  <c r="S250" i="3" s="1"/>
  <c r="S251" i="3" s="1"/>
  <c r="S252" i="3" s="1"/>
  <c r="S253" i="3" s="1"/>
  <c r="S254" i="3" s="1"/>
  <c r="S255" i="3" s="1"/>
  <c r="S256" i="3" s="1"/>
  <c r="S257" i="3" s="1"/>
  <c r="S258" i="3" s="1"/>
  <c r="V248" i="3" s="1"/>
  <c r="V249" i="3" s="1"/>
  <c r="V250" i="3" s="1"/>
  <c r="V251" i="3" s="1"/>
  <c r="V252" i="3" s="1"/>
  <c r="V253" i="3" s="1"/>
  <c r="V254" i="3" s="1"/>
  <c r="V255" i="3" s="1"/>
  <c r="V256" i="3" s="1"/>
  <c r="V257" i="3" s="1"/>
  <c r="V258" i="3" s="1"/>
  <c r="D260" i="3" s="1"/>
  <c r="D261" i="3" s="1"/>
  <c r="D262" i="3" s="1"/>
  <c r="D263" i="3" s="1"/>
  <c r="D264" i="3" s="1"/>
  <c r="D265" i="3" s="1"/>
  <c r="D266" i="3" s="1"/>
  <c r="D267" i="3" s="1"/>
  <c r="D268" i="3" s="1"/>
  <c r="D269" i="3" s="1"/>
  <c r="D270" i="3" s="1"/>
  <c r="G260" i="3" s="1"/>
  <c r="G261" i="3" s="1"/>
  <c r="G262" i="3" s="1"/>
  <c r="G263" i="3" s="1"/>
  <c r="G264" i="3" s="1"/>
  <c r="G265" i="3" s="1"/>
  <c r="G266" i="3" s="1"/>
  <c r="G267" i="3" s="1"/>
  <c r="G268" i="3" s="1"/>
  <c r="G269" i="3" s="1"/>
  <c r="G270" i="3" s="1"/>
  <c r="J260" i="3" s="1"/>
  <c r="J261" i="3" s="1"/>
  <c r="J262" i="3" s="1"/>
  <c r="J263" i="3" s="1"/>
  <c r="J264" i="3" s="1"/>
  <c r="J265" i="3" s="1"/>
  <c r="J266" i="3" s="1"/>
  <c r="J267" i="3" s="1"/>
  <c r="J268" i="3" s="1"/>
  <c r="J269" i="3" s="1"/>
  <c r="J270" i="3" s="1"/>
  <c r="M260" i="3" s="1"/>
  <c r="M261" i="3" s="1"/>
  <c r="M262" i="3" s="1"/>
  <c r="M263" i="3" s="1"/>
  <c r="M264" i="3" s="1"/>
  <c r="M265" i="3" s="1"/>
  <c r="M266" i="3" s="1"/>
  <c r="M267" i="3" s="1"/>
  <c r="M268" i="3" s="1"/>
  <c r="M269" i="3" s="1"/>
  <c r="M270" i="3" s="1"/>
  <c r="P260" i="3" s="1"/>
  <c r="P261" i="3" s="1"/>
  <c r="P262" i="3" s="1"/>
  <c r="P263" i="3" s="1"/>
  <c r="P264" i="3" s="1"/>
  <c r="P265" i="3" s="1"/>
  <c r="P266" i="3" s="1"/>
  <c r="P267" i="3" s="1"/>
  <c r="P268" i="3" s="1"/>
  <c r="P269" i="3" s="1"/>
  <c r="P270" i="3" s="1"/>
  <c r="S260" i="3" s="1"/>
  <c r="S261" i="3" s="1"/>
  <c r="S262" i="3" s="1"/>
  <c r="S263" i="3" s="1"/>
  <c r="S264" i="3" s="1"/>
  <c r="S265" i="3" s="1"/>
  <c r="S266" i="3" s="1"/>
  <c r="S267" i="3" s="1"/>
  <c r="S268" i="3" s="1"/>
  <c r="S269" i="3" s="1"/>
  <c r="S270" i="3" s="1"/>
  <c r="V260" i="3" s="1"/>
  <c r="V261" i="3" s="1"/>
  <c r="V262" i="3" s="1"/>
  <c r="V263" i="3" s="1"/>
  <c r="V264" i="3" s="1"/>
  <c r="V265" i="3" s="1"/>
  <c r="V266" i="3" s="1"/>
  <c r="V267" i="3" s="1"/>
  <c r="V268" i="3" s="1"/>
  <c r="V269" i="3" s="1"/>
  <c r="V270" i="3" s="1"/>
  <c r="D272" i="3" s="1"/>
  <c r="D273" i="3" s="1"/>
  <c r="D274" i="3" s="1"/>
  <c r="D275" i="3" s="1"/>
  <c r="D276" i="3" s="1"/>
  <c r="D277" i="3" s="1"/>
  <c r="D278" i="3" s="1"/>
  <c r="D279" i="3" s="1"/>
  <c r="D280" i="3" s="1"/>
  <c r="D281" i="3" s="1"/>
  <c r="D282" i="3" s="1"/>
  <c r="G272" i="3" s="1"/>
  <c r="G273" i="3" s="1"/>
  <c r="G274" i="3" s="1"/>
  <c r="G275" i="3" s="1"/>
  <c r="G276" i="3" s="1"/>
  <c r="G277" i="3" s="1"/>
  <c r="G278" i="3" s="1"/>
  <c r="G279" i="3" s="1"/>
  <c r="G280" i="3" s="1"/>
  <c r="G281" i="3" s="1"/>
  <c r="G282" i="3" s="1"/>
  <c r="J272" i="3" s="1"/>
  <c r="J273" i="3" s="1"/>
  <c r="J274" i="3" s="1"/>
  <c r="J275" i="3" s="1"/>
  <c r="J276" i="3" s="1"/>
  <c r="J277" i="3" s="1"/>
  <c r="J278" i="3" s="1"/>
  <c r="J279" i="3" s="1"/>
  <c r="J280" i="3" s="1"/>
  <c r="J281" i="3" s="1"/>
  <c r="J282" i="3" s="1"/>
  <c r="M272" i="3" s="1"/>
  <c r="M273" i="3" s="1"/>
  <c r="M274" i="3" s="1"/>
  <c r="M275" i="3" s="1"/>
  <c r="M276" i="3" s="1"/>
  <c r="M277" i="3" s="1"/>
  <c r="M278" i="3" s="1"/>
  <c r="M279" i="3" s="1"/>
  <c r="M280" i="3" s="1"/>
  <c r="M281" i="3" s="1"/>
  <c r="M282" i="3" s="1"/>
  <c r="P272" i="3" s="1"/>
  <c r="P273" i="3" s="1"/>
  <c r="P274" i="3" s="1"/>
  <c r="P275" i="3" s="1"/>
  <c r="P276" i="3" s="1"/>
  <c r="P277" i="3" s="1"/>
  <c r="P278" i="3" s="1"/>
  <c r="P279" i="3" s="1"/>
  <c r="P280" i="3" s="1"/>
  <c r="P281" i="3" s="1"/>
  <c r="P282" i="3" s="1"/>
  <c r="S272" i="3" s="1"/>
  <c r="S273" i="3" s="1"/>
  <c r="S274" i="3" s="1"/>
  <c r="S275" i="3" s="1"/>
  <c r="S276" i="3" s="1"/>
  <c r="S277" i="3" s="1"/>
  <c r="S278" i="3" s="1"/>
  <c r="S279" i="3" s="1"/>
  <c r="S280" i="3" s="1"/>
  <c r="S281" i="3" s="1"/>
  <c r="S282" i="3" s="1"/>
  <c r="V272" i="3" s="1"/>
  <c r="V273" i="3" s="1"/>
  <c r="V274" i="3" s="1"/>
  <c r="V275" i="3" s="1"/>
  <c r="V276" i="3" s="1"/>
  <c r="V277" i="3" s="1"/>
  <c r="V278" i="3" s="1"/>
  <c r="V279" i="3" s="1"/>
  <c r="V280" i="3" s="1"/>
  <c r="V281" i="3" s="1"/>
  <c r="V282" i="3" s="1"/>
  <c r="D284" i="3" s="1"/>
  <c r="D285" i="3" s="1"/>
  <c r="D286" i="3" s="1"/>
  <c r="D287" i="3" s="1"/>
  <c r="D288" i="3" s="1"/>
  <c r="D289" i="3" s="1"/>
  <c r="D290" i="3" s="1"/>
  <c r="D291" i="3" s="1"/>
  <c r="D292" i="3" s="1"/>
  <c r="D293" i="3" s="1"/>
  <c r="D294" i="3" s="1"/>
  <c r="G284" i="3" s="1"/>
  <c r="G285" i="3" s="1"/>
  <c r="G286" i="3" s="1"/>
  <c r="G287" i="3" s="1"/>
  <c r="G288" i="3" s="1"/>
  <c r="G289" i="3" s="1"/>
  <c r="G290" i="3" s="1"/>
  <c r="G291" i="3" s="1"/>
  <c r="G292" i="3" s="1"/>
  <c r="G293" i="3" s="1"/>
  <c r="G294" i="3" s="1"/>
  <c r="J284" i="3" s="1"/>
  <c r="J285" i="3" s="1"/>
  <c r="J286" i="3" s="1"/>
  <c r="J287" i="3" s="1"/>
  <c r="J288" i="3" s="1"/>
  <c r="J289" i="3" s="1"/>
  <c r="J290" i="3" s="1"/>
  <c r="J291" i="3" s="1"/>
  <c r="J292" i="3" s="1"/>
  <c r="J293" i="3" s="1"/>
  <c r="J294" i="3" s="1"/>
  <c r="M284" i="3" s="1"/>
  <c r="M285" i="3" s="1"/>
  <c r="M286" i="3" s="1"/>
  <c r="M287" i="3" s="1"/>
  <c r="M288" i="3" s="1"/>
  <c r="M289" i="3" s="1"/>
  <c r="M290" i="3" s="1"/>
  <c r="M291" i="3" s="1"/>
  <c r="M292" i="3" s="1"/>
  <c r="M293" i="3" s="1"/>
  <c r="M294" i="3" s="1"/>
  <c r="P284" i="3" s="1"/>
  <c r="P285" i="3" s="1"/>
  <c r="P286" i="3" s="1"/>
  <c r="P287" i="3" s="1"/>
  <c r="P288" i="3" s="1"/>
  <c r="P289" i="3" s="1"/>
  <c r="P290" i="3" s="1"/>
  <c r="P291" i="3" s="1"/>
  <c r="P292" i="3" s="1"/>
  <c r="P293" i="3" s="1"/>
  <c r="P294" i="3" s="1"/>
  <c r="S284" i="3" s="1"/>
  <c r="S285" i="3" s="1"/>
  <c r="S286" i="3" s="1"/>
  <c r="S287" i="3" s="1"/>
  <c r="S288" i="3" s="1"/>
  <c r="S289" i="3" s="1"/>
  <c r="S290" i="3" s="1"/>
  <c r="S291" i="3" s="1"/>
  <c r="S292" i="3" s="1"/>
  <c r="S293" i="3" s="1"/>
  <c r="S294" i="3" s="1"/>
  <c r="V284" i="3" s="1"/>
  <c r="V285" i="3" s="1"/>
  <c r="V286" i="3" s="1"/>
  <c r="V287" i="3" s="1"/>
  <c r="V288" i="3" s="1"/>
  <c r="V289" i="3" s="1"/>
  <c r="V290" i="3" s="1"/>
  <c r="V291" i="3" s="1"/>
  <c r="V292" i="3" s="1"/>
  <c r="V293" i="3" s="1"/>
  <c r="V294" i="3" s="1"/>
  <c r="D296" i="3" s="1"/>
  <c r="D297" i="3" s="1"/>
  <c r="D298" i="3" s="1"/>
  <c r="D299" i="3" s="1"/>
  <c r="D300" i="3" s="1"/>
  <c r="D301" i="3" s="1"/>
  <c r="D302" i="3" s="1"/>
  <c r="D303" i="3" s="1"/>
  <c r="D304" i="3" s="1"/>
  <c r="D305" i="3" s="1"/>
  <c r="D306" i="3" s="1"/>
  <c r="G296" i="3" s="1"/>
  <c r="G297" i="3" s="1"/>
  <c r="G298" i="3" s="1"/>
  <c r="G299" i="3" s="1"/>
  <c r="G300" i="3" s="1"/>
  <c r="G301" i="3" s="1"/>
  <c r="G302" i="3" s="1"/>
  <c r="G303" i="3" s="1"/>
  <c r="G304" i="3" s="1"/>
  <c r="G305" i="3" s="1"/>
  <c r="G306" i="3" s="1"/>
  <c r="J296" i="3" s="1"/>
  <c r="J297" i="3" s="1"/>
  <c r="J298" i="3" s="1"/>
  <c r="J299" i="3" s="1"/>
  <c r="J300" i="3" s="1"/>
  <c r="J301" i="3" s="1"/>
  <c r="J302" i="3" s="1"/>
  <c r="J303" i="3" s="1"/>
  <c r="J304" i="3" s="1"/>
  <c r="J305" i="3" s="1"/>
  <c r="J306" i="3" s="1"/>
  <c r="M296" i="3" s="1"/>
  <c r="M297" i="3" s="1"/>
  <c r="M298" i="3" s="1"/>
  <c r="M299" i="3" s="1"/>
  <c r="M300" i="3" s="1"/>
  <c r="M301" i="3" s="1"/>
  <c r="M302" i="3" s="1"/>
  <c r="M303" i="3" s="1"/>
  <c r="M304" i="3" s="1"/>
  <c r="M305" i="3" s="1"/>
  <c r="M306" i="3" s="1"/>
  <c r="P296" i="3" s="1"/>
  <c r="P297" i="3" s="1"/>
  <c r="P298" i="3" s="1"/>
  <c r="P299" i="3" s="1"/>
  <c r="P300" i="3" s="1"/>
  <c r="P301" i="3" s="1"/>
  <c r="P302" i="3" s="1"/>
  <c r="P303" i="3" s="1"/>
  <c r="P304" i="3" s="1"/>
  <c r="P305" i="3" s="1"/>
  <c r="P306" i="3" s="1"/>
  <c r="S296" i="3" s="1"/>
  <c r="S297" i="3" s="1"/>
  <c r="S298" i="3" s="1"/>
  <c r="S299" i="3" s="1"/>
  <c r="S300" i="3" s="1"/>
  <c r="S301" i="3" s="1"/>
  <c r="S302" i="3" s="1"/>
  <c r="S303" i="3" s="1"/>
  <c r="S304" i="3" s="1"/>
  <c r="S305" i="3" s="1"/>
  <c r="S306" i="3" s="1"/>
  <c r="V296" i="3" s="1"/>
  <c r="V297" i="3" s="1"/>
  <c r="V298" i="3" s="1"/>
  <c r="V299" i="3" s="1"/>
  <c r="V300" i="3" s="1"/>
  <c r="V301" i="3" s="1"/>
  <c r="V302" i="3" s="1"/>
  <c r="V303" i="3" s="1"/>
  <c r="V304" i="3" s="1"/>
  <c r="V305" i="3" s="1"/>
  <c r="V306" i="3" s="1"/>
  <c r="D308" i="3" s="1"/>
  <c r="D309" i="3" s="1"/>
  <c r="D310" i="3" s="1"/>
  <c r="D311" i="3" s="1"/>
  <c r="D312" i="3" s="1"/>
  <c r="D313" i="3" s="1"/>
  <c r="D314" i="3" s="1"/>
  <c r="D315" i="3" s="1"/>
  <c r="D316" i="3" s="1"/>
  <c r="D317" i="3" s="1"/>
  <c r="D318" i="3" s="1"/>
  <c r="G308" i="3" s="1"/>
  <c r="G309" i="3" s="1"/>
  <c r="G310" i="3" s="1"/>
  <c r="G311" i="3" s="1"/>
  <c r="G312" i="3" s="1"/>
  <c r="G313" i="3" s="1"/>
  <c r="G314" i="3" s="1"/>
  <c r="G315" i="3" s="1"/>
  <c r="G316" i="3" s="1"/>
  <c r="G317" i="3" s="1"/>
  <c r="G318" i="3" s="1"/>
  <c r="J308" i="3" s="1"/>
  <c r="J309" i="3" s="1"/>
  <c r="J310" i="3" s="1"/>
  <c r="J311" i="3" s="1"/>
  <c r="J312" i="3" s="1"/>
  <c r="J313" i="3" s="1"/>
  <c r="J314" i="3" s="1"/>
  <c r="J315" i="3" s="1"/>
  <c r="J316" i="3" s="1"/>
  <c r="J317" i="3" s="1"/>
  <c r="J318" i="3" s="1"/>
  <c r="M308" i="3" s="1"/>
  <c r="M309" i="3" s="1"/>
  <c r="M310" i="3" s="1"/>
  <c r="M311" i="3" s="1"/>
  <c r="M312" i="3" s="1"/>
  <c r="M313" i="3" s="1"/>
  <c r="M314" i="3" s="1"/>
  <c r="M315" i="3" s="1"/>
  <c r="M316" i="3" s="1"/>
  <c r="M317" i="3" s="1"/>
  <c r="M318" i="3" s="1"/>
  <c r="P308" i="3" s="1"/>
  <c r="P309" i="3" s="1"/>
  <c r="P310" i="3" s="1"/>
  <c r="P311" i="3" s="1"/>
  <c r="P312" i="3" s="1"/>
  <c r="P313" i="3" s="1"/>
  <c r="P314" i="3" s="1"/>
  <c r="P315" i="3" s="1"/>
  <c r="P316" i="3" s="1"/>
  <c r="P317" i="3" s="1"/>
  <c r="P318" i="3" s="1"/>
  <c r="S308" i="3" s="1"/>
  <c r="S309" i="3" s="1"/>
  <c r="S310" i="3" s="1"/>
  <c r="S311" i="3" s="1"/>
  <c r="S312" i="3" s="1"/>
  <c r="S313" i="3" s="1"/>
  <c r="S314" i="3" s="1"/>
  <c r="S315" i="3" s="1"/>
  <c r="S316" i="3" s="1"/>
  <c r="S317" i="3" s="1"/>
  <c r="S318" i="3" s="1"/>
  <c r="V308" i="3" s="1"/>
  <c r="V309" i="3" s="1"/>
  <c r="V310" i="3" s="1"/>
  <c r="V311" i="3" s="1"/>
  <c r="V312" i="3" s="1"/>
  <c r="V313" i="3" s="1"/>
  <c r="V314" i="3" s="1"/>
  <c r="V315" i="3" s="1"/>
  <c r="V316" i="3" s="1"/>
  <c r="V317" i="3" s="1"/>
  <c r="V318" i="3" s="1"/>
  <c r="D320" i="3" s="1"/>
  <c r="D321" i="3" s="1"/>
  <c r="D322" i="3" s="1"/>
  <c r="D323" i="3" s="1"/>
  <c r="D324" i="3" s="1"/>
  <c r="D325" i="3" s="1"/>
  <c r="D326" i="3" s="1"/>
  <c r="D327" i="3" s="1"/>
  <c r="D328" i="3" s="1"/>
  <c r="D329" i="3" s="1"/>
  <c r="D330" i="3" s="1"/>
  <c r="G320" i="3" s="1"/>
  <c r="G321" i="3" s="1"/>
  <c r="G322" i="3" s="1"/>
  <c r="G323" i="3" s="1"/>
  <c r="G324" i="3" s="1"/>
  <c r="G325" i="3" s="1"/>
  <c r="G326" i="3" s="1"/>
  <c r="G327" i="3" s="1"/>
  <c r="G328" i="3" s="1"/>
  <c r="G329" i="3" s="1"/>
  <c r="G330" i="3" s="1"/>
  <c r="J320" i="3" s="1"/>
  <c r="J321" i="3" s="1"/>
  <c r="J322" i="3" s="1"/>
  <c r="J323" i="3" s="1"/>
  <c r="J324" i="3" s="1"/>
  <c r="J325" i="3" s="1"/>
  <c r="J326" i="3" s="1"/>
  <c r="J327" i="3" s="1"/>
  <c r="J328" i="3" s="1"/>
  <c r="J329" i="3" s="1"/>
  <c r="J330" i="3" s="1"/>
  <c r="M320" i="3" s="1"/>
  <c r="M321" i="3" s="1"/>
  <c r="M322" i="3" s="1"/>
  <c r="M323" i="3" s="1"/>
  <c r="M324" i="3" s="1"/>
  <c r="M325" i="3" s="1"/>
  <c r="M326" i="3" s="1"/>
  <c r="M327" i="3" s="1"/>
  <c r="M328" i="3" s="1"/>
  <c r="M329" i="3" s="1"/>
  <c r="M330" i="3" s="1"/>
  <c r="P320" i="3" s="1"/>
  <c r="P321" i="3" s="1"/>
  <c r="P322" i="3" s="1"/>
  <c r="P323" i="3" s="1"/>
  <c r="P324" i="3" s="1"/>
  <c r="P325" i="3" s="1"/>
  <c r="P326" i="3" s="1"/>
  <c r="P327" i="3" s="1"/>
  <c r="P328" i="3" s="1"/>
  <c r="P329" i="3" s="1"/>
  <c r="P330" i="3" s="1"/>
  <c r="S320" i="3" s="1"/>
  <c r="S321" i="3" s="1"/>
  <c r="S322" i="3" s="1"/>
  <c r="S323" i="3" s="1"/>
  <c r="S324" i="3" s="1"/>
  <c r="S325" i="3" s="1"/>
  <c r="S326" i="3" s="1"/>
  <c r="S327" i="3" s="1"/>
  <c r="S328" i="3" s="1"/>
  <c r="S329" i="3" s="1"/>
  <c r="S330" i="3" s="1"/>
  <c r="V320" i="3" s="1"/>
  <c r="V321" i="3" s="1"/>
  <c r="V322" i="3" s="1"/>
  <c r="V323" i="3" s="1"/>
  <c r="V324" i="3" s="1"/>
  <c r="V325" i="3" s="1"/>
  <c r="V326" i="3" s="1"/>
  <c r="V327" i="3" s="1"/>
  <c r="V328" i="3" s="1"/>
  <c r="V329" i="3" s="1"/>
  <c r="V330" i="3" s="1"/>
  <c r="D332" i="3" s="1"/>
  <c r="D333" i="3" s="1"/>
  <c r="D334" i="3" s="1"/>
  <c r="D335" i="3" s="1"/>
  <c r="D336" i="3" s="1"/>
  <c r="D337" i="3" s="1"/>
  <c r="D338" i="3" s="1"/>
  <c r="D339" i="3" s="1"/>
  <c r="D340" i="3" s="1"/>
  <c r="D341" i="3" s="1"/>
  <c r="D342" i="3" s="1"/>
  <c r="G332" i="3" s="1"/>
  <c r="G333" i="3" s="1"/>
  <c r="G334" i="3" s="1"/>
  <c r="G335" i="3" s="1"/>
  <c r="G336" i="3" s="1"/>
  <c r="G337" i="3" s="1"/>
  <c r="G338" i="3" s="1"/>
  <c r="G339" i="3" s="1"/>
  <c r="G340" i="3" s="1"/>
  <c r="G341" i="3" s="1"/>
  <c r="G342" i="3" s="1"/>
  <c r="J332" i="3" s="1"/>
  <c r="J333" i="3" s="1"/>
  <c r="J334" i="3" s="1"/>
  <c r="J335" i="3" s="1"/>
  <c r="J336" i="3" s="1"/>
  <c r="J337" i="3" s="1"/>
  <c r="J338" i="3" s="1"/>
  <c r="J339" i="3" s="1"/>
  <c r="J340" i="3" s="1"/>
  <c r="J341" i="3" s="1"/>
  <c r="J342" i="3" s="1"/>
  <c r="M332" i="3" s="1"/>
  <c r="M333" i="3" s="1"/>
  <c r="M334" i="3" s="1"/>
  <c r="M335" i="3" s="1"/>
  <c r="M336" i="3" s="1"/>
  <c r="M337" i="3" s="1"/>
  <c r="M338" i="3" s="1"/>
  <c r="M339" i="3" s="1"/>
  <c r="M340" i="3" s="1"/>
  <c r="M341" i="3" s="1"/>
  <c r="M342" i="3" s="1"/>
  <c r="P332" i="3" s="1"/>
  <c r="P333" i="3" s="1"/>
  <c r="P334" i="3" s="1"/>
  <c r="P335" i="3" s="1"/>
  <c r="P336" i="3" s="1"/>
  <c r="P337" i="3" s="1"/>
  <c r="P338" i="3" s="1"/>
  <c r="P339" i="3" s="1"/>
  <c r="P340" i="3" s="1"/>
  <c r="P341" i="3" s="1"/>
  <c r="P342" i="3" s="1"/>
  <c r="S332" i="3" s="1"/>
  <c r="S333" i="3" s="1"/>
  <c r="S334" i="3" s="1"/>
  <c r="S335" i="3" s="1"/>
  <c r="S336" i="3" s="1"/>
  <c r="S337" i="3" s="1"/>
  <c r="S338" i="3" s="1"/>
  <c r="S339" i="3" s="1"/>
  <c r="S340" i="3" s="1"/>
  <c r="S341" i="3" s="1"/>
  <c r="S342" i="3" s="1"/>
  <c r="V332" i="3" s="1"/>
  <c r="V333" i="3" s="1"/>
  <c r="V334" i="3" s="1"/>
  <c r="V335" i="3" s="1"/>
  <c r="V336" i="3" s="1"/>
  <c r="V337" i="3" s="1"/>
  <c r="V338" i="3" s="1"/>
  <c r="V339" i="3" s="1"/>
  <c r="V340" i="3" s="1"/>
  <c r="V341" i="3" s="1"/>
  <c r="V342" i="3" s="1"/>
  <c r="D344" i="3" s="1"/>
  <c r="D345" i="3" s="1"/>
  <c r="D346" i="3" s="1"/>
  <c r="D347" i="3" s="1"/>
  <c r="D348" i="3" s="1"/>
  <c r="D349" i="3" s="1"/>
  <c r="D350" i="3" s="1"/>
  <c r="D351" i="3" s="1"/>
  <c r="D352" i="3" s="1"/>
  <c r="D353" i="3" s="1"/>
  <c r="D354" i="3" s="1"/>
  <c r="G344" i="3" s="1"/>
  <c r="G345" i="3" s="1"/>
  <c r="G346" i="3" s="1"/>
  <c r="G347" i="3" s="1"/>
  <c r="G348" i="3" s="1"/>
  <c r="G349" i="3" s="1"/>
  <c r="G350" i="3" s="1"/>
  <c r="G351" i="3" s="1"/>
  <c r="G352" i="3" s="1"/>
  <c r="G353" i="3" s="1"/>
  <c r="G354" i="3" s="1"/>
  <c r="J344" i="3" s="1"/>
  <c r="J345" i="3" s="1"/>
  <c r="J346" i="3" s="1"/>
  <c r="J347" i="3" s="1"/>
  <c r="J348" i="3" s="1"/>
  <c r="J349" i="3" s="1"/>
  <c r="J350" i="3" s="1"/>
  <c r="J351" i="3" s="1"/>
  <c r="J352" i="3" s="1"/>
  <c r="J353" i="3" s="1"/>
  <c r="J354" i="3" s="1"/>
  <c r="M344" i="3" s="1"/>
  <c r="M345" i="3" s="1"/>
  <c r="M346" i="3" s="1"/>
  <c r="M347" i="3" s="1"/>
  <c r="M348" i="3" s="1"/>
  <c r="M349" i="3" s="1"/>
  <c r="M350" i="3" s="1"/>
  <c r="M351" i="3" s="1"/>
  <c r="M352" i="3" s="1"/>
  <c r="M353" i="3" s="1"/>
  <c r="M354" i="3" s="1"/>
  <c r="P344" i="3" s="1"/>
  <c r="P345" i="3" s="1"/>
  <c r="P346" i="3" s="1"/>
  <c r="P347" i="3" s="1"/>
  <c r="P348" i="3" s="1"/>
  <c r="P349" i="3" s="1"/>
  <c r="P350" i="3" s="1"/>
  <c r="P351" i="3" s="1"/>
  <c r="P352" i="3" s="1"/>
  <c r="P353" i="3" s="1"/>
  <c r="P354" i="3" s="1"/>
  <c r="S344" i="3" s="1"/>
  <c r="S345" i="3" s="1"/>
  <c r="S346" i="3" s="1"/>
  <c r="S347" i="3" s="1"/>
  <c r="S348" i="3" s="1"/>
  <c r="S349" i="3" s="1"/>
  <c r="S350" i="3" s="1"/>
  <c r="S351" i="3" s="1"/>
  <c r="S352" i="3" s="1"/>
  <c r="S353" i="3" s="1"/>
  <c r="S354" i="3" s="1"/>
  <c r="V344" i="3" s="1"/>
  <c r="V345" i="3" s="1"/>
  <c r="V346" i="3" s="1"/>
  <c r="V347" i="3" s="1"/>
  <c r="V348" i="3" s="1"/>
  <c r="V349" i="3" s="1"/>
  <c r="V350" i="3" s="1"/>
  <c r="V351" i="3" s="1"/>
  <c r="V352" i="3" s="1"/>
  <c r="V353" i="3" s="1"/>
  <c r="V354" i="3" s="1"/>
  <c r="D356" i="3" s="1"/>
  <c r="D357" i="3" s="1"/>
  <c r="D358" i="3" s="1"/>
  <c r="D359" i="3" s="1"/>
  <c r="D360" i="3" s="1"/>
  <c r="D361" i="3" s="1"/>
  <c r="D362" i="3" s="1"/>
  <c r="D363" i="3" s="1"/>
  <c r="D364" i="3" s="1"/>
  <c r="D365" i="3" s="1"/>
  <c r="D366" i="3" s="1"/>
  <c r="G356" i="3" s="1"/>
  <c r="G357" i="3" s="1"/>
  <c r="G358" i="3" s="1"/>
  <c r="G359" i="3" s="1"/>
  <c r="G360" i="3" s="1"/>
  <c r="G361" i="3" s="1"/>
  <c r="G362" i="3" s="1"/>
  <c r="G363" i="3" s="1"/>
  <c r="G364" i="3" s="1"/>
  <c r="G365" i="3" s="1"/>
  <c r="G366" i="3" s="1"/>
  <c r="J356" i="3" s="1"/>
  <c r="J357" i="3" s="1"/>
  <c r="J358" i="3" s="1"/>
  <c r="J359" i="3" s="1"/>
  <c r="J360" i="3" s="1"/>
  <c r="J361" i="3" s="1"/>
  <c r="J362" i="3" s="1"/>
  <c r="J363" i="3" s="1"/>
  <c r="J364" i="3" s="1"/>
  <c r="J365" i="3" s="1"/>
  <c r="J366" i="3" s="1"/>
  <c r="M356" i="3" s="1"/>
  <c r="M357" i="3" s="1"/>
  <c r="M358" i="3" s="1"/>
  <c r="M359" i="3" s="1"/>
  <c r="M360" i="3" s="1"/>
  <c r="M361" i="3" s="1"/>
  <c r="M362" i="3" s="1"/>
  <c r="M363" i="3" s="1"/>
  <c r="M364" i="3" s="1"/>
  <c r="M365" i="3" s="1"/>
  <c r="M366" i="3" s="1"/>
  <c r="P356" i="3" s="1"/>
  <c r="P357" i="3" s="1"/>
  <c r="P358" i="3" s="1"/>
  <c r="P359" i="3" s="1"/>
  <c r="P360" i="3" s="1"/>
  <c r="P361" i="3" s="1"/>
  <c r="P362" i="3" s="1"/>
  <c r="P363" i="3" s="1"/>
  <c r="P364" i="3" s="1"/>
  <c r="P365" i="3" s="1"/>
  <c r="P366" i="3" s="1"/>
  <c r="S356" i="3" s="1"/>
  <c r="S357" i="3" s="1"/>
  <c r="S358" i="3" s="1"/>
  <c r="S359" i="3" s="1"/>
  <c r="S360" i="3" s="1"/>
  <c r="S361" i="3" s="1"/>
  <c r="S362" i="3" s="1"/>
  <c r="S363" i="3" s="1"/>
  <c r="S364" i="3" s="1"/>
  <c r="S365" i="3" s="1"/>
  <c r="S366" i="3" s="1"/>
  <c r="V356" i="3" s="1"/>
  <c r="V357" i="3" s="1"/>
  <c r="V358" i="3" s="1"/>
  <c r="V359" i="3" s="1"/>
  <c r="V360" i="3" s="1"/>
  <c r="V361" i="3" s="1"/>
  <c r="V362" i="3" s="1"/>
  <c r="V363" i="3" s="1"/>
  <c r="V364" i="3" s="1"/>
  <c r="V365" i="3" s="1"/>
  <c r="V366" i="3" s="1"/>
  <c r="D368" i="3" s="1"/>
  <c r="D369" i="3" s="1"/>
  <c r="D370" i="3" s="1"/>
  <c r="D371" i="3" s="1"/>
  <c r="D372" i="3" s="1"/>
  <c r="D373" i="3" s="1"/>
  <c r="D374" i="3" s="1"/>
  <c r="D375" i="3" s="1"/>
  <c r="D376" i="3" s="1"/>
  <c r="D377" i="3" s="1"/>
  <c r="D378" i="3" s="1"/>
  <c r="G368" i="3" s="1"/>
  <c r="G369" i="3" s="1"/>
  <c r="G370" i="3" s="1"/>
  <c r="G371" i="3" s="1"/>
  <c r="G372" i="3" s="1"/>
  <c r="G373" i="3" s="1"/>
  <c r="G374" i="3" s="1"/>
  <c r="G375" i="3" s="1"/>
  <c r="G376" i="3" s="1"/>
  <c r="G377" i="3" s="1"/>
  <c r="G378" i="3" s="1"/>
  <c r="J368" i="3" s="1"/>
  <c r="J369" i="3" s="1"/>
  <c r="J370" i="3" s="1"/>
  <c r="J371" i="3" s="1"/>
  <c r="J372" i="3" s="1"/>
  <c r="J373" i="3" s="1"/>
  <c r="J374" i="3" s="1"/>
  <c r="J375" i="3" s="1"/>
  <c r="J376" i="3" s="1"/>
  <c r="J377" i="3" s="1"/>
  <c r="J378" i="3" s="1"/>
  <c r="M368" i="3" s="1"/>
  <c r="M369" i="3" s="1"/>
  <c r="M370" i="3" s="1"/>
  <c r="M371" i="3" s="1"/>
  <c r="M372" i="3" s="1"/>
  <c r="M373" i="3" s="1"/>
  <c r="M374" i="3" s="1"/>
  <c r="M375" i="3" s="1"/>
  <c r="M376" i="3" s="1"/>
  <c r="M377" i="3" s="1"/>
  <c r="M378" i="3" s="1"/>
  <c r="P368" i="3" s="1"/>
  <c r="P369" i="3" s="1"/>
  <c r="P370" i="3" s="1"/>
  <c r="P371" i="3" s="1"/>
  <c r="P372" i="3" s="1"/>
  <c r="P373" i="3" s="1"/>
  <c r="P374" i="3" s="1"/>
  <c r="P375" i="3" s="1"/>
  <c r="P376" i="3" s="1"/>
  <c r="P377" i="3" s="1"/>
  <c r="P378" i="3" s="1"/>
  <c r="S368" i="3" s="1"/>
  <c r="S369" i="3" s="1"/>
  <c r="S370" i="3" s="1"/>
  <c r="S371" i="3" s="1"/>
  <c r="S372" i="3" s="1"/>
  <c r="S373" i="3" s="1"/>
  <c r="S374" i="3" s="1"/>
  <c r="S375" i="3" s="1"/>
  <c r="S376" i="3" s="1"/>
  <c r="S377" i="3" s="1"/>
  <c r="S378" i="3" s="1"/>
  <c r="V368" i="3" s="1"/>
  <c r="V369" i="3" s="1"/>
  <c r="V370" i="3" s="1"/>
  <c r="V371" i="3" s="1"/>
  <c r="V372" i="3" s="1"/>
  <c r="V373" i="3" s="1"/>
  <c r="V374" i="3" s="1"/>
  <c r="V375" i="3" s="1"/>
  <c r="V376" i="3" s="1"/>
  <c r="V377" i="3" s="1"/>
  <c r="V378" i="3" s="1"/>
  <c r="D380" i="3" s="1"/>
  <c r="D381" i="3" s="1"/>
  <c r="D382" i="3" s="1"/>
  <c r="D383" i="3" s="1"/>
  <c r="D384" i="3" s="1"/>
  <c r="D385" i="3" s="1"/>
  <c r="D386" i="3" s="1"/>
  <c r="D387" i="3" s="1"/>
  <c r="D388" i="3" s="1"/>
  <c r="D389" i="3" s="1"/>
  <c r="D390" i="3" s="1"/>
  <c r="G380" i="3" s="1"/>
  <c r="G381" i="3" s="1"/>
  <c r="G382" i="3" s="1"/>
  <c r="G383" i="3" s="1"/>
  <c r="G384" i="3" s="1"/>
  <c r="G385" i="3" s="1"/>
  <c r="G386" i="3" s="1"/>
  <c r="G387" i="3" s="1"/>
  <c r="G388" i="3" s="1"/>
  <c r="G389" i="3" s="1"/>
  <c r="G390" i="3" s="1"/>
  <c r="J380" i="3" s="1"/>
  <c r="J381" i="3" s="1"/>
  <c r="J382" i="3" s="1"/>
  <c r="J383" i="3" s="1"/>
  <c r="J384" i="3" s="1"/>
  <c r="J385" i="3" s="1"/>
  <c r="J386" i="3" s="1"/>
  <c r="J387" i="3" s="1"/>
  <c r="J388" i="3" s="1"/>
  <c r="J389" i="3" s="1"/>
  <c r="J390" i="3" s="1"/>
  <c r="M380" i="3" s="1"/>
  <c r="M381" i="3" s="1"/>
  <c r="M382" i="3" s="1"/>
  <c r="M383" i="3" s="1"/>
  <c r="M384" i="3" s="1"/>
  <c r="M385" i="3" s="1"/>
  <c r="M386" i="3" s="1"/>
  <c r="M387" i="3" s="1"/>
  <c r="M388" i="3" s="1"/>
  <c r="M389" i="3" s="1"/>
  <c r="M390" i="3" s="1"/>
  <c r="P380" i="3" s="1"/>
  <c r="P381" i="3" s="1"/>
  <c r="P382" i="3" s="1"/>
  <c r="P383" i="3" s="1"/>
  <c r="P384" i="3" s="1"/>
  <c r="P385" i="3" s="1"/>
  <c r="P386" i="3" s="1"/>
  <c r="P387" i="3" s="1"/>
  <c r="P388" i="3" s="1"/>
  <c r="P389" i="3" s="1"/>
  <c r="P390" i="3" s="1"/>
  <c r="S380" i="3" s="1"/>
  <c r="S381" i="3" s="1"/>
  <c r="S382" i="3" s="1"/>
  <c r="S383" i="3" s="1"/>
  <c r="S384" i="3" s="1"/>
  <c r="S385" i="3" s="1"/>
  <c r="S386" i="3" s="1"/>
  <c r="S387" i="3" s="1"/>
  <c r="S388" i="3" s="1"/>
  <c r="S389" i="3" s="1"/>
  <c r="S390" i="3" s="1"/>
  <c r="V380" i="3" s="1"/>
  <c r="V381" i="3" s="1"/>
  <c r="V382" i="3" s="1"/>
  <c r="V383" i="3" s="1"/>
  <c r="V384" i="3" s="1"/>
  <c r="V385" i="3" s="1"/>
  <c r="V386" i="3" s="1"/>
  <c r="V387" i="3" s="1"/>
  <c r="V388" i="3" s="1"/>
  <c r="V389" i="3" s="1"/>
  <c r="V390" i="3" s="1"/>
  <c r="D392" i="3" s="1"/>
  <c r="D393" i="3" s="1"/>
  <c r="D394" i="3" s="1"/>
  <c r="D395" i="3" s="1"/>
  <c r="D396" i="3" s="1"/>
  <c r="D397" i="3" s="1"/>
  <c r="D398" i="3" s="1"/>
  <c r="D399" i="3" s="1"/>
  <c r="D400" i="3" s="1"/>
  <c r="D401" i="3" s="1"/>
  <c r="D402" i="3" s="1"/>
  <c r="G392" i="3" s="1"/>
  <c r="G393" i="3" s="1"/>
  <c r="G394" i="3" s="1"/>
  <c r="G395" i="3" s="1"/>
  <c r="G396" i="3" s="1"/>
  <c r="G397" i="3" s="1"/>
  <c r="G398" i="3" s="1"/>
  <c r="G399" i="3" s="1"/>
  <c r="G400" i="3" s="1"/>
  <c r="G401" i="3" s="1"/>
  <c r="G402" i="3" s="1"/>
  <c r="J392" i="3" s="1"/>
  <c r="J393" i="3" s="1"/>
  <c r="J394" i="3" s="1"/>
  <c r="J395" i="3" s="1"/>
  <c r="J396" i="3" s="1"/>
  <c r="J397" i="3" s="1"/>
  <c r="J398" i="3" s="1"/>
  <c r="J399" i="3" s="1"/>
  <c r="J400" i="3" s="1"/>
  <c r="J401" i="3" s="1"/>
  <c r="J402" i="3" s="1"/>
  <c r="M392" i="3" s="1"/>
  <c r="M393" i="3" s="1"/>
  <c r="M394" i="3" s="1"/>
  <c r="M395" i="3" s="1"/>
  <c r="M396" i="3" s="1"/>
  <c r="M397" i="3" s="1"/>
  <c r="M398" i="3" s="1"/>
  <c r="M399" i="3" s="1"/>
  <c r="M400" i="3" s="1"/>
  <c r="M401" i="3" s="1"/>
  <c r="M402" i="3" s="1"/>
  <c r="P392" i="3" s="1"/>
  <c r="P393" i="3" s="1"/>
  <c r="P394" i="3" s="1"/>
  <c r="P395" i="3" s="1"/>
  <c r="P396" i="3" s="1"/>
  <c r="P397" i="3" s="1"/>
  <c r="P398" i="3" s="1"/>
  <c r="P399" i="3" s="1"/>
  <c r="P400" i="3" s="1"/>
  <c r="P401" i="3" s="1"/>
  <c r="P402" i="3" s="1"/>
  <c r="S392" i="3" s="1"/>
  <c r="S393" i="3" s="1"/>
  <c r="S394" i="3" s="1"/>
  <c r="S395" i="3" s="1"/>
  <c r="S396" i="3" s="1"/>
  <c r="S397" i="3" s="1"/>
  <c r="S398" i="3" s="1"/>
  <c r="S399" i="3" s="1"/>
  <c r="S400" i="3" s="1"/>
  <c r="S401" i="3" s="1"/>
  <c r="S402" i="3" s="1"/>
  <c r="V392" i="3" s="1"/>
  <c r="V393" i="3" s="1"/>
  <c r="V394" i="3" s="1"/>
  <c r="V395" i="3" s="1"/>
  <c r="V396" i="3" s="1"/>
  <c r="V397" i="3" s="1"/>
  <c r="V398" i="3" s="1"/>
  <c r="V399" i="3" s="1"/>
  <c r="V400" i="3" s="1"/>
  <c r="V401" i="3" s="1"/>
  <c r="V402" i="3" s="1"/>
  <c r="D404" i="3" s="1"/>
  <c r="D405" i="3" s="1"/>
  <c r="D406" i="3" s="1"/>
  <c r="D407" i="3" s="1"/>
  <c r="D408" i="3" s="1"/>
  <c r="D409" i="3" s="1"/>
  <c r="D410" i="3" s="1"/>
  <c r="D411" i="3" s="1"/>
  <c r="D412" i="3" s="1"/>
  <c r="D413" i="3" s="1"/>
  <c r="D414" i="3" s="1"/>
  <c r="G404" i="3" s="1"/>
  <c r="G405" i="3" s="1"/>
  <c r="G406" i="3" s="1"/>
  <c r="G407" i="3" s="1"/>
  <c r="G408" i="3" s="1"/>
  <c r="G409" i="3" s="1"/>
  <c r="G410" i="3" s="1"/>
  <c r="G411" i="3" s="1"/>
  <c r="G412" i="3" s="1"/>
  <c r="G413" i="3" s="1"/>
  <c r="G414" i="3" s="1"/>
  <c r="J404" i="3" s="1"/>
  <c r="J405" i="3" s="1"/>
  <c r="J406" i="3" s="1"/>
  <c r="J407" i="3" s="1"/>
  <c r="J408" i="3" s="1"/>
  <c r="J409" i="3" s="1"/>
  <c r="J410" i="3" s="1"/>
  <c r="J411" i="3" s="1"/>
  <c r="J412" i="3" s="1"/>
  <c r="J413" i="3" s="1"/>
  <c r="J414" i="3" s="1"/>
  <c r="M404" i="3" s="1"/>
  <c r="M405" i="3" s="1"/>
  <c r="M406" i="3" s="1"/>
  <c r="M407" i="3" s="1"/>
  <c r="M408" i="3" s="1"/>
  <c r="M409" i="3" s="1"/>
  <c r="M410" i="3" s="1"/>
  <c r="M411" i="3" s="1"/>
  <c r="M412" i="3" s="1"/>
  <c r="M413" i="3" s="1"/>
  <c r="M414" i="3" s="1"/>
  <c r="P404" i="3" s="1"/>
  <c r="P405" i="3" s="1"/>
  <c r="P406" i="3" s="1"/>
  <c r="P407" i="3" s="1"/>
  <c r="P408" i="3" s="1"/>
  <c r="P409" i="3" s="1"/>
  <c r="P410" i="3" s="1"/>
  <c r="P411" i="3" s="1"/>
  <c r="P412" i="3" s="1"/>
  <c r="P413" i="3" s="1"/>
  <c r="P414" i="3" s="1"/>
  <c r="S404" i="3" s="1"/>
  <c r="S405" i="3" s="1"/>
  <c r="S406" i="3" s="1"/>
  <c r="S407" i="3" s="1"/>
  <c r="S408" i="3" s="1"/>
  <c r="S409" i="3" s="1"/>
  <c r="S410" i="3" s="1"/>
  <c r="S411" i="3" s="1"/>
  <c r="S412" i="3" s="1"/>
  <c r="S413" i="3" s="1"/>
  <c r="S414" i="3" s="1"/>
  <c r="V404" i="3" s="1"/>
  <c r="V405" i="3" s="1"/>
  <c r="V406" i="3" s="1"/>
  <c r="V407" i="3" s="1"/>
  <c r="V408" i="3" s="1"/>
  <c r="V409" i="3" s="1"/>
  <c r="V410" i="3" s="1"/>
  <c r="V411" i="3" s="1"/>
  <c r="V412" i="3" s="1"/>
  <c r="V413" i="3" s="1"/>
  <c r="V414" i="3" s="1"/>
  <c r="D416" i="3" s="1"/>
  <c r="D417" i="3" s="1"/>
  <c r="D418" i="3" s="1"/>
  <c r="D419" i="3" s="1"/>
  <c r="D420" i="3" s="1"/>
  <c r="D421" i="3" s="1"/>
  <c r="D422" i="3" s="1"/>
  <c r="D423" i="3" s="1"/>
  <c r="D424" i="3" s="1"/>
  <c r="D425" i="3" s="1"/>
  <c r="D426" i="3" s="1"/>
  <c r="G416" i="3" s="1"/>
  <c r="G417" i="3" s="1"/>
  <c r="G418" i="3" s="1"/>
  <c r="G419" i="3" s="1"/>
  <c r="G420" i="3" s="1"/>
  <c r="G421" i="3" s="1"/>
  <c r="G422" i="3" s="1"/>
  <c r="G423" i="3" s="1"/>
  <c r="G424" i="3" s="1"/>
  <c r="G425" i="3" s="1"/>
  <c r="G426" i="3" s="1"/>
  <c r="J416" i="3" s="1"/>
  <c r="J417" i="3" s="1"/>
  <c r="J418" i="3" s="1"/>
  <c r="J419" i="3" s="1"/>
  <c r="J420" i="3" s="1"/>
  <c r="J421" i="3" s="1"/>
  <c r="J422" i="3" s="1"/>
  <c r="J423" i="3" s="1"/>
  <c r="J424" i="3" s="1"/>
  <c r="J425" i="3" s="1"/>
  <c r="J426" i="3" s="1"/>
  <c r="M416" i="3" s="1"/>
  <c r="M417" i="3" s="1"/>
  <c r="M418" i="3" s="1"/>
  <c r="M419" i="3" s="1"/>
  <c r="M420" i="3" s="1"/>
  <c r="M421" i="3" s="1"/>
  <c r="M422" i="3" s="1"/>
  <c r="M423" i="3" s="1"/>
  <c r="M424" i="3" s="1"/>
  <c r="M425" i="3" s="1"/>
  <c r="M426" i="3" s="1"/>
  <c r="P416" i="3" s="1"/>
  <c r="P417" i="3" s="1"/>
  <c r="P418" i="3" s="1"/>
  <c r="P419" i="3" s="1"/>
  <c r="P420" i="3" s="1"/>
  <c r="P421" i="3" s="1"/>
  <c r="P422" i="3" s="1"/>
  <c r="P423" i="3" s="1"/>
  <c r="P424" i="3" s="1"/>
  <c r="P425" i="3" s="1"/>
  <c r="P426" i="3" s="1"/>
  <c r="S416" i="3" s="1"/>
  <c r="S417" i="3" s="1"/>
  <c r="S418" i="3" s="1"/>
  <c r="S419" i="3" s="1"/>
  <c r="S420" i="3" s="1"/>
  <c r="S421" i="3" s="1"/>
  <c r="S422" i="3" s="1"/>
  <c r="S423" i="3" s="1"/>
  <c r="S424" i="3" s="1"/>
  <c r="S425" i="3" s="1"/>
  <c r="S426" i="3" s="1"/>
  <c r="V416" i="3" s="1"/>
  <c r="V417" i="3" s="1"/>
  <c r="V418" i="3" s="1"/>
  <c r="V419" i="3" s="1"/>
  <c r="V420" i="3" s="1"/>
  <c r="V421" i="3" s="1"/>
  <c r="V422" i="3" s="1"/>
  <c r="V423" i="3" s="1"/>
  <c r="V424" i="3" s="1"/>
  <c r="V425" i="3" s="1"/>
  <c r="V426" i="3" s="1"/>
  <c r="D428" i="3" s="1"/>
  <c r="D429" i="3" s="1"/>
  <c r="D430" i="3" s="1"/>
  <c r="D431" i="3" s="1"/>
  <c r="D432" i="3" s="1"/>
  <c r="D433" i="3" s="1"/>
  <c r="D434" i="3" s="1"/>
  <c r="D435" i="3" s="1"/>
  <c r="D436" i="3" s="1"/>
  <c r="D437" i="3" s="1"/>
  <c r="D438" i="3" s="1"/>
  <c r="G428" i="3" s="1"/>
  <c r="G429" i="3" s="1"/>
  <c r="G430" i="3" s="1"/>
  <c r="G431" i="3" s="1"/>
  <c r="G432" i="3" s="1"/>
  <c r="G433" i="3" s="1"/>
  <c r="G434" i="3" s="1"/>
  <c r="G435" i="3" s="1"/>
  <c r="G436" i="3" s="1"/>
  <c r="G437" i="3" s="1"/>
  <c r="G438" i="3" s="1"/>
  <c r="J428" i="3" s="1"/>
  <c r="J429" i="3" s="1"/>
  <c r="J430" i="3" s="1"/>
  <c r="J431" i="3" s="1"/>
  <c r="J432" i="3" s="1"/>
  <c r="J433" i="3" s="1"/>
  <c r="J434" i="3" s="1"/>
  <c r="J435" i="3" s="1"/>
  <c r="J436" i="3" s="1"/>
  <c r="J437" i="3" s="1"/>
  <c r="J438" i="3" s="1"/>
  <c r="M428" i="3" s="1"/>
  <c r="M429" i="3" s="1"/>
  <c r="M430" i="3" s="1"/>
  <c r="M431" i="3" s="1"/>
  <c r="M432" i="3" s="1"/>
  <c r="M433" i="3" s="1"/>
  <c r="M434" i="3" s="1"/>
  <c r="M435" i="3" s="1"/>
  <c r="M436" i="3" s="1"/>
  <c r="M437" i="3" s="1"/>
  <c r="M438" i="3" s="1"/>
  <c r="P428" i="3" s="1"/>
  <c r="P429" i="3" s="1"/>
  <c r="P430" i="3" s="1"/>
  <c r="P431" i="3" s="1"/>
  <c r="P432" i="3" s="1"/>
  <c r="P433" i="3" s="1"/>
  <c r="P434" i="3" s="1"/>
  <c r="P435" i="3" s="1"/>
  <c r="P436" i="3" s="1"/>
  <c r="P437" i="3" s="1"/>
  <c r="P438" i="3" s="1"/>
  <c r="S428" i="3" s="1"/>
  <c r="S429" i="3" s="1"/>
  <c r="S430" i="3" s="1"/>
  <c r="S431" i="3" s="1"/>
  <c r="S432" i="3" s="1"/>
  <c r="S433" i="3" s="1"/>
  <c r="S434" i="3" s="1"/>
  <c r="S435" i="3" s="1"/>
  <c r="S436" i="3" s="1"/>
  <c r="S437" i="3" s="1"/>
  <c r="S438" i="3" s="1"/>
  <c r="V428" i="3" s="1"/>
  <c r="V429" i="3" s="1"/>
  <c r="V430" i="3" s="1"/>
  <c r="V431" i="3" s="1"/>
  <c r="V432" i="3" s="1"/>
  <c r="V433" i="3" s="1"/>
  <c r="V434" i="3" s="1"/>
  <c r="V435" i="3" s="1"/>
  <c r="V436" i="3" s="1"/>
  <c r="V437" i="3" s="1"/>
  <c r="V438" i="3" s="1"/>
  <c r="D440" i="3" s="1"/>
  <c r="D441" i="3" s="1"/>
  <c r="D442" i="3" s="1"/>
  <c r="D443" i="3" s="1"/>
  <c r="D444" i="3" s="1"/>
  <c r="D445" i="3" s="1"/>
  <c r="D446" i="3" s="1"/>
  <c r="D447" i="3" s="1"/>
  <c r="D448" i="3" s="1"/>
  <c r="D449" i="3" s="1"/>
  <c r="D450" i="3" s="1"/>
  <c r="G440" i="3" s="1"/>
  <c r="G441" i="3" s="1"/>
  <c r="G442" i="3" s="1"/>
  <c r="G443" i="3" s="1"/>
  <c r="G444" i="3" s="1"/>
  <c r="G445" i="3" s="1"/>
  <c r="G446" i="3" s="1"/>
  <c r="G447" i="3" s="1"/>
  <c r="G448" i="3" s="1"/>
  <c r="G449" i="3" s="1"/>
  <c r="G450" i="3" s="1"/>
  <c r="J440" i="3" s="1"/>
  <c r="J441" i="3" s="1"/>
  <c r="J442" i="3" s="1"/>
  <c r="J443" i="3" s="1"/>
  <c r="J444" i="3" s="1"/>
  <c r="J445" i="3" s="1"/>
  <c r="J446" i="3" s="1"/>
  <c r="J447" i="3" s="1"/>
  <c r="J448" i="3" s="1"/>
  <c r="J449" i="3" s="1"/>
  <c r="J450" i="3" s="1"/>
  <c r="M440" i="3" s="1"/>
  <c r="M441" i="3" s="1"/>
  <c r="M442" i="3" s="1"/>
  <c r="M443" i="3" s="1"/>
  <c r="M444" i="3" s="1"/>
  <c r="M445" i="3" s="1"/>
  <c r="M446" i="3" s="1"/>
  <c r="M447" i="3" s="1"/>
  <c r="M448" i="3" s="1"/>
  <c r="M449" i="3" s="1"/>
  <c r="M450" i="3" s="1"/>
  <c r="P440" i="3" s="1"/>
  <c r="P441" i="3" s="1"/>
  <c r="P442" i="3" s="1"/>
  <c r="P443" i="3" s="1"/>
  <c r="P444" i="3" s="1"/>
  <c r="P445" i="3" s="1"/>
  <c r="P446" i="3" s="1"/>
  <c r="P447" i="3" s="1"/>
  <c r="P448" i="3" s="1"/>
  <c r="P449" i="3" s="1"/>
  <c r="P450" i="3" s="1"/>
  <c r="S440" i="3" s="1"/>
  <c r="S441" i="3" s="1"/>
  <c r="S442" i="3" s="1"/>
  <c r="S443" i="3" s="1"/>
  <c r="S444" i="3" s="1"/>
  <c r="S445" i="3" s="1"/>
  <c r="S446" i="3" s="1"/>
  <c r="S447" i="3" s="1"/>
  <c r="S448" i="3" s="1"/>
  <c r="S449" i="3" s="1"/>
  <c r="S450" i="3" s="1"/>
  <c r="V440" i="3" s="1"/>
  <c r="V441" i="3" s="1"/>
  <c r="V442" i="3" s="1"/>
  <c r="V443" i="3" s="1"/>
  <c r="V444" i="3" s="1"/>
  <c r="V445" i="3" s="1"/>
  <c r="V446" i="3" s="1"/>
  <c r="V447" i="3" s="1"/>
  <c r="V448" i="3" s="1"/>
  <c r="V449" i="3" s="1"/>
  <c r="V450" i="3" s="1"/>
  <c r="D452" i="3" s="1"/>
  <c r="D453" i="3" s="1"/>
  <c r="D454" i="3" s="1"/>
  <c r="D455" i="3" s="1"/>
  <c r="D456" i="3" s="1"/>
  <c r="D457" i="3" s="1"/>
  <c r="D458" i="3" s="1"/>
  <c r="D459" i="3" s="1"/>
  <c r="D460" i="3" s="1"/>
  <c r="D461" i="3" s="1"/>
  <c r="D462" i="3" s="1"/>
  <c r="G452" i="3" s="1"/>
  <c r="G453" i="3" s="1"/>
  <c r="G454" i="3" s="1"/>
  <c r="G455" i="3" s="1"/>
  <c r="G456" i="3" s="1"/>
  <c r="G457" i="3" s="1"/>
  <c r="G458" i="3" s="1"/>
  <c r="G459" i="3" s="1"/>
  <c r="G460" i="3" s="1"/>
  <c r="G461" i="3" s="1"/>
  <c r="G462" i="3" s="1"/>
  <c r="J452" i="3" s="1"/>
  <c r="J453" i="3" s="1"/>
  <c r="J454" i="3" s="1"/>
  <c r="J455" i="3" s="1"/>
  <c r="J456" i="3" s="1"/>
  <c r="J457" i="3" s="1"/>
  <c r="J458" i="3" s="1"/>
  <c r="J459" i="3" s="1"/>
  <c r="J460" i="3" s="1"/>
  <c r="J461" i="3" s="1"/>
  <c r="J462" i="3" s="1"/>
  <c r="M452" i="3" s="1"/>
  <c r="M453" i="3" s="1"/>
  <c r="M454" i="3" s="1"/>
  <c r="M455" i="3" s="1"/>
  <c r="M456" i="3" s="1"/>
  <c r="M457" i="3" s="1"/>
  <c r="M458" i="3" s="1"/>
  <c r="M459" i="3" s="1"/>
  <c r="M460" i="3" s="1"/>
  <c r="M461" i="3" s="1"/>
  <c r="M462" i="3" s="1"/>
  <c r="P452" i="3" s="1"/>
  <c r="P453" i="3" s="1"/>
  <c r="P454" i="3" s="1"/>
  <c r="P455" i="3" s="1"/>
  <c r="P456" i="3" s="1"/>
  <c r="P457" i="3" s="1"/>
  <c r="P458" i="3" s="1"/>
  <c r="P459" i="3" s="1"/>
  <c r="P460" i="3" s="1"/>
  <c r="P461" i="3" s="1"/>
  <c r="P462" i="3" s="1"/>
  <c r="S452" i="3" s="1"/>
  <c r="S453" i="3" s="1"/>
  <c r="S454" i="3" s="1"/>
  <c r="S455" i="3" s="1"/>
  <c r="S456" i="3" s="1"/>
  <c r="S457" i="3" s="1"/>
  <c r="S458" i="3" s="1"/>
  <c r="S459" i="3" s="1"/>
  <c r="S460" i="3" s="1"/>
  <c r="S461" i="3" s="1"/>
  <c r="S462" i="3" s="1"/>
  <c r="V452" i="3" s="1"/>
  <c r="V453" i="3" s="1"/>
  <c r="V454" i="3" s="1"/>
  <c r="V455" i="3" s="1"/>
  <c r="V456" i="3" s="1"/>
  <c r="V457" i="3" s="1"/>
  <c r="V458" i="3" s="1"/>
  <c r="V459" i="3" s="1"/>
  <c r="V460" i="3" s="1"/>
  <c r="V461" i="3" s="1"/>
  <c r="V462" i="3" s="1"/>
  <c r="D464" i="3" s="1"/>
  <c r="D465" i="3" s="1"/>
  <c r="D466" i="3" s="1"/>
  <c r="D467" i="3" s="1"/>
  <c r="D468" i="3" s="1"/>
  <c r="D469" i="3" s="1"/>
  <c r="D470" i="3" s="1"/>
  <c r="D471" i="3" s="1"/>
  <c r="D472" i="3" s="1"/>
  <c r="D473" i="3" s="1"/>
  <c r="D474" i="3" s="1"/>
  <c r="G464" i="3" s="1"/>
  <c r="G465" i="3" s="1"/>
  <c r="G466" i="3" s="1"/>
  <c r="G467" i="3" s="1"/>
  <c r="G468" i="3" s="1"/>
  <c r="G469" i="3" s="1"/>
  <c r="G470" i="3" s="1"/>
  <c r="G471" i="3" s="1"/>
  <c r="G472" i="3" s="1"/>
  <c r="G473" i="3" s="1"/>
  <c r="G474" i="3" s="1"/>
  <c r="J464" i="3" s="1"/>
  <c r="J465" i="3" s="1"/>
  <c r="J466" i="3" s="1"/>
  <c r="J467" i="3" s="1"/>
  <c r="J468" i="3" s="1"/>
  <c r="J469" i="3" s="1"/>
  <c r="J470" i="3" s="1"/>
  <c r="J471" i="3" s="1"/>
  <c r="J472" i="3" s="1"/>
  <c r="J473" i="3" s="1"/>
  <c r="J474" i="3" s="1"/>
  <c r="M464" i="3" s="1"/>
  <c r="M465" i="3" s="1"/>
  <c r="M466" i="3" s="1"/>
  <c r="M467" i="3" s="1"/>
  <c r="M468" i="3" s="1"/>
  <c r="M469" i="3" s="1"/>
  <c r="M470" i="3" s="1"/>
  <c r="M471" i="3" s="1"/>
  <c r="M472" i="3" s="1"/>
  <c r="M473" i="3" s="1"/>
  <c r="M474" i="3" s="1"/>
  <c r="P464" i="3" s="1"/>
  <c r="P465" i="3" s="1"/>
  <c r="P466" i="3" s="1"/>
  <c r="P467" i="3" s="1"/>
  <c r="P468" i="3" s="1"/>
  <c r="P469" i="3" s="1"/>
  <c r="P470" i="3" s="1"/>
  <c r="P471" i="3" s="1"/>
  <c r="P472" i="3" s="1"/>
  <c r="P473" i="3" s="1"/>
  <c r="P474" i="3" s="1"/>
  <c r="S464" i="3" s="1"/>
  <c r="S465" i="3" s="1"/>
  <c r="S466" i="3" s="1"/>
  <c r="S467" i="3" s="1"/>
  <c r="S468" i="3" s="1"/>
  <c r="S469" i="3" s="1"/>
  <c r="S470" i="3" s="1"/>
  <c r="S471" i="3" s="1"/>
  <c r="S472" i="3" s="1"/>
  <c r="S473" i="3" s="1"/>
  <c r="S474" i="3" s="1"/>
  <c r="V464" i="3" s="1"/>
  <c r="V465" i="3" s="1"/>
  <c r="V466" i="3" s="1"/>
  <c r="V467" i="3" s="1"/>
  <c r="V468" i="3" s="1"/>
  <c r="V469" i="3" s="1"/>
  <c r="V470" i="3" s="1"/>
  <c r="V471" i="3" s="1"/>
  <c r="V472" i="3" s="1"/>
  <c r="V473" i="3" s="1"/>
  <c r="V474" i="3" s="1"/>
  <c r="D476" i="3" s="1"/>
  <c r="D477" i="3" s="1"/>
  <c r="D478" i="3" s="1"/>
  <c r="D479" i="3" s="1"/>
  <c r="D480" i="3" s="1"/>
  <c r="D481" i="3" s="1"/>
  <c r="D482" i="3" s="1"/>
  <c r="D483" i="3" s="1"/>
  <c r="D484" i="3" s="1"/>
  <c r="D485" i="3" s="1"/>
  <c r="D486" i="3" s="1"/>
  <c r="G476" i="3" s="1"/>
  <c r="G477" i="3" s="1"/>
  <c r="G478" i="3" s="1"/>
  <c r="G479" i="3" s="1"/>
  <c r="G480" i="3" s="1"/>
  <c r="G481" i="3" s="1"/>
  <c r="G482" i="3" s="1"/>
  <c r="G483" i="3" s="1"/>
  <c r="G484" i="3" s="1"/>
  <c r="G485" i="3" s="1"/>
  <c r="G486" i="3" s="1"/>
  <c r="J476" i="3" s="1"/>
  <c r="J477" i="3" s="1"/>
  <c r="J478" i="3" s="1"/>
  <c r="J479" i="3" s="1"/>
  <c r="J480" i="3" s="1"/>
  <c r="J481" i="3" s="1"/>
  <c r="J482" i="3" s="1"/>
  <c r="J483" i="3" s="1"/>
  <c r="J484" i="3" s="1"/>
  <c r="J485" i="3" s="1"/>
  <c r="J486" i="3" s="1"/>
  <c r="M476" i="3" s="1"/>
  <c r="M477" i="3" s="1"/>
  <c r="M478" i="3" s="1"/>
  <c r="M479" i="3" s="1"/>
  <c r="M480" i="3" s="1"/>
  <c r="M481" i="3" s="1"/>
  <c r="M482" i="3" s="1"/>
  <c r="M483" i="3" s="1"/>
  <c r="M484" i="3" s="1"/>
  <c r="M485" i="3" s="1"/>
  <c r="M486" i="3" s="1"/>
  <c r="P476" i="3" s="1"/>
  <c r="P477" i="3" s="1"/>
  <c r="P478" i="3" s="1"/>
  <c r="P479" i="3" s="1"/>
  <c r="P480" i="3" s="1"/>
  <c r="P481" i="3" s="1"/>
  <c r="P482" i="3" s="1"/>
  <c r="P483" i="3" s="1"/>
  <c r="P484" i="3" s="1"/>
  <c r="P485" i="3" s="1"/>
  <c r="P486" i="3" s="1"/>
  <c r="S476" i="3" s="1"/>
  <c r="S477" i="3" s="1"/>
  <c r="S478" i="3" s="1"/>
  <c r="S479" i="3" s="1"/>
  <c r="S480" i="3" s="1"/>
  <c r="S481" i="3" s="1"/>
  <c r="S482" i="3" s="1"/>
  <c r="S483" i="3" s="1"/>
  <c r="S484" i="3" s="1"/>
  <c r="S485" i="3" s="1"/>
  <c r="S486" i="3" s="1"/>
  <c r="V476" i="3" s="1"/>
  <c r="V477" i="3" s="1"/>
  <c r="V478" i="3" s="1"/>
  <c r="V479" i="3" s="1"/>
  <c r="V480" i="3" s="1"/>
  <c r="V481" i="3" s="1"/>
  <c r="V482" i="3" s="1"/>
  <c r="V483" i="3" s="1"/>
  <c r="V484" i="3" s="1"/>
  <c r="V485" i="3" s="1"/>
  <c r="V486" i="3" s="1"/>
  <c r="D488" i="3" s="1"/>
  <c r="D489" i="3" s="1"/>
  <c r="D490" i="3" s="1"/>
  <c r="D491" i="3" s="1"/>
  <c r="D492" i="3" s="1"/>
  <c r="D493" i="3" s="1"/>
  <c r="D494" i="3" s="1"/>
  <c r="D495" i="3" s="1"/>
  <c r="D496" i="3" s="1"/>
  <c r="D497" i="3" s="1"/>
  <c r="D498" i="3" s="1"/>
  <c r="G488" i="3" s="1"/>
  <c r="G489" i="3" s="1"/>
  <c r="G490" i="3" s="1"/>
  <c r="G491" i="3" s="1"/>
  <c r="G492" i="3" s="1"/>
  <c r="G493" i="3" s="1"/>
  <c r="G494" i="3" s="1"/>
  <c r="G495" i="3" s="1"/>
  <c r="G496" i="3" s="1"/>
  <c r="G497" i="3" s="1"/>
  <c r="G498" i="3" s="1"/>
  <c r="J488" i="3" s="1"/>
  <c r="J489" i="3" s="1"/>
  <c r="J490" i="3" s="1"/>
  <c r="J491" i="3" s="1"/>
  <c r="J492" i="3" s="1"/>
  <c r="J493" i="3" s="1"/>
  <c r="J494" i="3" s="1"/>
  <c r="J495" i="3" s="1"/>
  <c r="J496" i="3" s="1"/>
  <c r="J497" i="3" s="1"/>
  <c r="J498" i="3" s="1"/>
  <c r="M488" i="3" s="1"/>
  <c r="M489" i="3" s="1"/>
  <c r="M490" i="3" s="1"/>
  <c r="M491" i="3" s="1"/>
  <c r="M492" i="3" s="1"/>
  <c r="M493" i="3" s="1"/>
  <c r="M494" i="3" s="1"/>
  <c r="M495" i="3" s="1"/>
  <c r="M496" i="3" s="1"/>
  <c r="M497" i="3" s="1"/>
  <c r="M498" i="3" s="1"/>
  <c r="P488" i="3" s="1"/>
  <c r="P489" i="3" s="1"/>
  <c r="P490" i="3" s="1"/>
  <c r="P491" i="3" s="1"/>
  <c r="P492" i="3" s="1"/>
  <c r="P493" i="3" s="1"/>
  <c r="P494" i="3" s="1"/>
  <c r="P495" i="3" s="1"/>
  <c r="P496" i="3" s="1"/>
  <c r="P497" i="3" s="1"/>
  <c r="P498" i="3" s="1"/>
  <c r="S488" i="3" s="1"/>
  <c r="S489" i="3" s="1"/>
  <c r="S490" i="3" s="1"/>
  <c r="S491" i="3" s="1"/>
  <c r="S492" i="3" s="1"/>
  <c r="S493" i="3" s="1"/>
  <c r="S494" i="3" s="1"/>
  <c r="S495" i="3" s="1"/>
  <c r="S496" i="3" s="1"/>
  <c r="S497" i="3" s="1"/>
  <c r="S498" i="3" s="1"/>
  <c r="V488" i="3" s="1"/>
  <c r="V489" i="3" s="1"/>
  <c r="V490" i="3" s="1"/>
  <c r="V491" i="3" s="1"/>
  <c r="V492" i="3" s="1"/>
  <c r="V493" i="3" s="1"/>
  <c r="V494" i="3" s="1"/>
  <c r="V495" i="3" s="1"/>
  <c r="V496" i="3" s="1"/>
  <c r="V497" i="3" s="1"/>
  <c r="V498" i="3" s="1"/>
  <c r="D500" i="3" s="1"/>
  <c r="D501" i="3" s="1"/>
  <c r="D502" i="3" s="1"/>
  <c r="D503" i="3" s="1"/>
  <c r="D504" i="3" s="1"/>
  <c r="D505" i="3" s="1"/>
  <c r="D506" i="3" s="1"/>
  <c r="D507" i="3" s="1"/>
  <c r="D508" i="3" s="1"/>
  <c r="D509" i="3" s="1"/>
  <c r="D510" i="3" s="1"/>
  <c r="G500" i="3" s="1"/>
  <c r="G501" i="3" s="1"/>
  <c r="G502" i="3" s="1"/>
  <c r="G503" i="3" s="1"/>
  <c r="G504" i="3" s="1"/>
  <c r="G505" i="3" s="1"/>
  <c r="G506" i="3" s="1"/>
  <c r="G507" i="3" s="1"/>
  <c r="G508" i="3" s="1"/>
  <c r="G509" i="3" s="1"/>
  <c r="G510" i="3" s="1"/>
  <c r="J500" i="3" s="1"/>
  <c r="J501" i="3" s="1"/>
  <c r="J502" i="3" s="1"/>
  <c r="J503" i="3" s="1"/>
  <c r="J504" i="3" s="1"/>
  <c r="J505" i="3" s="1"/>
  <c r="J506" i="3" s="1"/>
  <c r="J507" i="3" s="1"/>
  <c r="J508" i="3" s="1"/>
  <c r="J509" i="3" s="1"/>
  <c r="J510" i="3" s="1"/>
  <c r="M500" i="3" s="1"/>
  <c r="M501" i="3" s="1"/>
  <c r="M502" i="3" s="1"/>
  <c r="M503" i="3" s="1"/>
  <c r="M504" i="3" s="1"/>
  <c r="M505" i="3" s="1"/>
  <c r="M506" i="3" s="1"/>
  <c r="M507" i="3" s="1"/>
  <c r="M508" i="3" s="1"/>
  <c r="M509" i="3" s="1"/>
  <c r="M510" i="3" s="1"/>
  <c r="P500" i="3" s="1"/>
  <c r="P501" i="3" s="1"/>
  <c r="P502" i="3" s="1"/>
  <c r="P503" i="3" s="1"/>
  <c r="P504" i="3" s="1"/>
  <c r="P505" i="3" s="1"/>
  <c r="P506" i="3" s="1"/>
  <c r="P507" i="3" s="1"/>
  <c r="P508" i="3" s="1"/>
  <c r="P509" i="3" s="1"/>
  <c r="P510" i="3" s="1"/>
  <c r="S500" i="3" s="1"/>
  <c r="S501" i="3" s="1"/>
  <c r="S502" i="3" s="1"/>
  <c r="S503" i="3" s="1"/>
  <c r="S504" i="3" s="1"/>
  <c r="S505" i="3" s="1"/>
  <c r="S506" i="3" s="1"/>
  <c r="S507" i="3" s="1"/>
  <c r="S508" i="3" s="1"/>
  <c r="S509" i="3" s="1"/>
  <c r="S510" i="3" s="1"/>
  <c r="V500" i="3" s="1"/>
  <c r="V501" i="3" s="1"/>
  <c r="V502" i="3" s="1"/>
  <c r="V503" i="3" s="1"/>
  <c r="V504" i="3" s="1"/>
  <c r="V505" i="3" s="1"/>
  <c r="V506" i="3" s="1"/>
  <c r="V507" i="3" s="1"/>
  <c r="V508" i="3" s="1"/>
  <c r="V509" i="3" s="1"/>
  <c r="V510" i="3" s="1"/>
  <c r="D512" i="3" s="1"/>
  <c r="D513" i="3" s="1"/>
  <c r="D514" i="3" s="1"/>
  <c r="D515" i="3" s="1"/>
  <c r="D516" i="3" s="1"/>
  <c r="D517" i="3" s="1"/>
  <c r="D518" i="3" s="1"/>
  <c r="D519" i="3" s="1"/>
  <c r="D520" i="3" s="1"/>
  <c r="D521" i="3" s="1"/>
  <c r="D522" i="3" s="1"/>
  <c r="G512" i="3" s="1"/>
  <c r="G513" i="3" s="1"/>
  <c r="G514" i="3" s="1"/>
  <c r="G515" i="3" s="1"/>
  <c r="G516" i="3" s="1"/>
  <c r="G517" i="3" s="1"/>
  <c r="G518" i="3" s="1"/>
  <c r="G519" i="3" s="1"/>
  <c r="G520" i="3" s="1"/>
  <c r="G521" i="3" s="1"/>
  <c r="G522" i="3" s="1"/>
  <c r="J512" i="3" s="1"/>
  <c r="J513" i="3" s="1"/>
  <c r="J514" i="3" s="1"/>
  <c r="J515" i="3" s="1"/>
  <c r="J516" i="3" s="1"/>
  <c r="J517" i="3" s="1"/>
  <c r="J518" i="3" s="1"/>
  <c r="J519" i="3" s="1"/>
  <c r="J520" i="3" s="1"/>
  <c r="J521" i="3" s="1"/>
  <c r="J522" i="3" s="1"/>
  <c r="M512" i="3" s="1"/>
  <c r="M513" i="3" s="1"/>
  <c r="M514" i="3" s="1"/>
  <c r="M515" i="3" s="1"/>
  <c r="M516" i="3" s="1"/>
  <c r="M517" i="3" s="1"/>
  <c r="M518" i="3" s="1"/>
  <c r="M519" i="3" s="1"/>
  <c r="M520" i="3" s="1"/>
  <c r="M521" i="3" s="1"/>
  <c r="M522" i="3" s="1"/>
  <c r="P512" i="3" s="1"/>
  <c r="P513" i="3" s="1"/>
  <c r="P514" i="3" s="1"/>
  <c r="P515" i="3" s="1"/>
  <c r="P516" i="3" s="1"/>
  <c r="P517" i="3" s="1"/>
  <c r="P518" i="3" s="1"/>
  <c r="P519" i="3" s="1"/>
  <c r="P520" i="3" s="1"/>
  <c r="P521" i="3" s="1"/>
  <c r="P522" i="3" s="1"/>
  <c r="S512" i="3" s="1"/>
  <c r="S513" i="3" s="1"/>
  <c r="S514" i="3" s="1"/>
  <c r="S515" i="3" s="1"/>
  <c r="S516" i="3" s="1"/>
  <c r="S517" i="3" s="1"/>
  <c r="S518" i="3" s="1"/>
  <c r="S519" i="3" s="1"/>
  <c r="S520" i="3" s="1"/>
  <c r="S521" i="3" s="1"/>
  <c r="S522" i="3" s="1"/>
  <c r="V512" i="3" s="1"/>
  <c r="V513" i="3" s="1"/>
  <c r="V514" i="3" s="1"/>
  <c r="V515" i="3" s="1"/>
  <c r="V516" i="3" s="1"/>
  <c r="V517" i="3" s="1"/>
  <c r="V518" i="3" s="1"/>
  <c r="V519" i="3" s="1"/>
  <c r="V520" i="3" s="1"/>
  <c r="V521" i="3" s="1"/>
  <c r="V522" i="3" s="1"/>
  <c r="D524" i="3" s="1"/>
  <c r="D525" i="3" s="1"/>
  <c r="D526" i="3" s="1"/>
  <c r="D527" i="3" s="1"/>
  <c r="D528" i="3" s="1"/>
  <c r="D529" i="3" s="1"/>
  <c r="D530" i="3" s="1"/>
  <c r="D531" i="3" s="1"/>
  <c r="D532" i="3" s="1"/>
  <c r="D533" i="3" s="1"/>
  <c r="D534" i="3" s="1"/>
  <c r="G524" i="3" s="1"/>
  <c r="G525" i="3" s="1"/>
  <c r="G526" i="3" s="1"/>
  <c r="G527" i="3" s="1"/>
  <c r="G528" i="3" s="1"/>
  <c r="G529" i="3" s="1"/>
  <c r="G530" i="3" s="1"/>
  <c r="G531" i="3" s="1"/>
  <c r="G532" i="3" s="1"/>
  <c r="G533" i="3" s="1"/>
  <c r="G534" i="3" s="1"/>
  <c r="J524" i="3" s="1"/>
  <c r="J525" i="3" s="1"/>
  <c r="J526" i="3" s="1"/>
  <c r="J527" i="3" s="1"/>
  <c r="J528" i="3" s="1"/>
  <c r="J529" i="3" s="1"/>
  <c r="J530" i="3" s="1"/>
  <c r="J531" i="3" s="1"/>
  <c r="J532" i="3" s="1"/>
  <c r="J533" i="3" s="1"/>
  <c r="J534" i="3" s="1"/>
  <c r="M524" i="3" s="1"/>
  <c r="M525" i="3" s="1"/>
  <c r="M526" i="3" s="1"/>
  <c r="M527" i="3" s="1"/>
  <c r="M528" i="3" s="1"/>
  <c r="M529" i="3" s="1"/>
  <c r="M530" i="3" s="1"/>
  <c r="M531" i="3" s="1"/>
  <c r="M532" i="3" s="1"/>
  <c r="M533" i="3" s="1"/>
  <c r="M534" i="3" s="1"/>
  <c r="P524" i="3" s="1"/>
  <c r="P525" i="3" s="1"/>
  <c r="P526" i="3" s="1"/>
  <c r="P527" i="3" s="1"/>
  <c r="P528" i="3" s="1"/>
  <c r="P529" i="3" s="1"/>
  <c r="P530" i="3" s="1"/>
  <c r="P531" i="3" s="1"/>
  <c r="P532" i="3" s="1"/>
  <c r="P533" i="3" s="1"/>
  <c r="P534" i="3" s="1"/>
  <c r="S524" i="3" s="1"/>
  <c r="S525" i="3" s="1"/>
  <c r="S526" i="3" s="1"/>
  <c r="S527" i="3" s="1"/>
  <c r="S528" i="3" s="1"/>
  <c r="S529" i="3" s="1"/>
  <c r="S530" i="3" s="1"/>
  <c r="S531" i="3" s="1"/>
  <c r="S532" i="3" s="1"/>
  <c r="S533" i="3" s="1"/>
  <c r="S534" i="3" s="1"/>
  <c r="V524" i="3" s="1"/>
  <c r="V525" i="3" s="1"/>
  <c r="V526" i="3" s="1"/>
  <c r="V527" i="3" s="1"/>
  <c r="V528" i="3" s="1"/>
  <c r="V529" i="3" s="1"/>
  <c r="V530" i="3" s="1"/>
  <c r="V531" i="3" s="1"/>
  <c r="V532" i="3" s="1"/>
  <c r="V533" i="3" s="1"/>
  <c r="V534" i="3" s="1"/>
  <c r="D536" i="3" s="1"/>
  <c r="D537" i="3" s="1"/>
  <c r="D538" i="3" s="1"/>
  <c r="D539" i="3" s="1"/>
  <c r="D540" i="3" s="1"/>
  <c r="D541" i="3" s="1"/>
  <c r="D542" i="3" s="1"/>
  <c r="D543" i="3" s="1"/>
  <c r="D544" i="3" s="1"/>
  <c r="D545" i="3" s="1"/>
  <c r="D546" i="3" s="1"/>
  <c r="G536" i="3" s="1"/>
  <c r="G537" i="3" s="1"/>
  <c r="G538" i="3" s="1"/>
  <c r="G539" i="3" s="1"/>
  <c r="G540" i="3" s="1"/>
  <c r="G541" i="3" s="1"/>
  <c r="G542" i="3" s="1"/>
  <c r="G543" i="3" s="1"/>
  <c r="G544" i="3" s="1"/>
  <c r="G545" i="3" s="1"/>
  <c r="G546" i="3" s="1"/>
  <c r="J536" i="3" s="1"/>
  <c r="J537" i="3" s="1"/>
  <c r="J538" i="3" s="1"/>
  <c r="J539" i="3" s="1"/>
  <c r="J540" i="3" s="1"/>
  <c r="J541" i="3" s="1"/>
  <c r="J542" i="3" s="1"/>
  <c r="J543" i="3" s="1"/>
  <c r="J544" i="3" s="1"/>
  <c r="J545" i="3" s="1"/>
  <c r="J546" i="3" s="1"/>
  <c r="M536" i="3" s="1"/>
  <c r="M537" i="3" s="1"/>
  <c r="M538" i="3" s="1"/>
  <c r="M539" i="3" s="1"/>
  <c r="M540" i="3" s="1"/>
  <c r="M541" i="3" s="1"/>
  <c r="M542" i="3" s="1"/>
  <c r="M543" i="3" s="1"/>
  <c r="M544" i="3" s="1"/>
  <c r="M545" i="3" s="1"/>
  <c r="M546" i="3" s="1"/>
  <c r="P536" i="3" s="1"/>
  <c r="P537" i="3" s="1"/>
  <c r="P538" i="3" s="1"/>
  <c r="P539" i="3" s="1"/>
  <c r="P540" i="3" s="1"/>
  <c r="P541" i="3" s="1"/>
  <c r="P542" i="3" s="1"/>
  <c r="P543" i="3" s="1"/>
  <c r="P544" i="3" s="1"/>
  <c r="P545" i="3" s="1"/>
  <c r="P546" i="3" s="1"/>
  <c r="S536" i="3" s="1"/>
  <c r="S537" i="3" s="1"/>
  <c r="S538" i="3" s="1"/>
  <c r="S539" i="3" s="1"/>
  <c r="S540" i="3" s="1"/>
  <c r="S541" i="3" s="1"/>
  <c r="S542" i="3" s="1"/>
  <c r="S543" i="3" s="1"/>
  <c r="S544" i="3" s="1"/>
  <c r="S545" i="3" s="1"/>
  <c r="S546" i="3" s="1"/>
  <c r="V536" i="3" s="1"/>
  <c r="V537" i="3" s="1"/>
  <c r="V538" i="3" s="1"/>
  <c r="V539" i="3" s="1"/>
  <c r="V540" i="3" s="1"/>
  <c r="V541" i="3" s="1"/>
  <c r="V542" i="3" s="1"/>
  <c r="V543" i="3" s="1"/>
  <c r="V544" i="3" s="1"/>
  <c r="V545" i="3" s="1"/>
  <c r="V546" i="3" s="1"/>
  <c r="D548" i="3" s="1"/>
  <c r="D549" i="3" s="1"/>
  <c r="D550" i="3" s="1"/>
  <c r="D551" i="3" s="1"/>
  <c r="D552" i="3" s="1"/>
  <c r="D553" i="3" s="1"/>
  <c r="D554" i="3" s="1"/>
  <c r="D555" i="3" s="1"/>
  <c r="D556" i="3" s="1"/>
  <c r="D557" i="3" s="1"/>
  <c r="D558" i="3" s="1"/>
  <c r="G548" i="3" s="1"/>
  <c r="G549" i="3" s="1"/>
  <c r="G550" i="3" s="1"/>
  <c r="G551" i="3" s="1"/>
  <c r="G552" i="3" s="1"/>
  <c r="G553" i="3" s="1"/>
  <c r="G554" i="3" s="1"/>
  <c r="G555" i="3" s="1"/>
  <c r="G556" i="3" s="1"/>
  <c r="G557" i="3" s="1"/>
  <c r="G558" i="3" s="1"/>
  <c r="J548" i="3" s="1"/>
  <c r="J549" i="3" s="1"/>
  <c r="J550" i="3" s="1"/>
  <c r="J551" i="3" s="1"/>
  <c r="J552" i="3" s="1"/>
  <c r="J553" i="3" s="1"/>
  <c r="J554" i="3" s="1"/>
  <c r="J555" i="3" s="1"/>
  <c r="J556" i="3" s="1"/>
  <c r="J557" i="3" s="1"/>
  <c r="J558" i="3" s="1"/>
  <c r="M548" i="3" s="1"/>
  <c r="M549" i="3" s="1"/>
  <c r="M550" i="3" s="1"/>
  <c r="M551" i="3" s="1"/>
  <c r="M552" i="3" s="1"/>
  <c r="M553" i="3" s="1"/>
  <c r="M554" i="3" s="1"/>
  <c r="M555" i="3" s="1"/>
  <c r="M556" i="3" s="1"/>
  <c r="M557" i="3" s="1"/>
  <c r="M558" i="3" s="1"/>
  <c r="P548" i="3" s="1"/>
  <c r="P549" i="3" s="1"/>
  <c r="P550" i="3" s="1"/>
  <c r="P551" i="3" s="1"/>
  <c r="P552" i="3" s="1"/>
  <c r="P553" i="3" s="1"/>
  <c r="P554" i="3" s="1"/>
  <c r="P555" i="3" s="1"/>
  <c r="P556" i="3" s="1"/>
  <c r="P557" i="3" s="1"/>
  <c r="P558" i="3" s="1"/>
  <c r="S548" i="3" s="1"/>
  <c r="S549" i="3" s="1"/>
  <c r="S550" i="3" s="1"/>
  <c r="S551" i="3" s="1"/>
  <c r="S552" i="3" s="1"/>
  <c r="S553" i="3" s="1"/>
  <c r="S554" i="3" s="1"/>
  <c r="S555" i="3" s="1"/>
  <c r="S556" i="3" s="1"/>
  <c r="S557" i="3" s="1"/>
  <c r="S558" i="3" s="1"/>
  <c r="V548" i="3" s="1"/>
  <c r="V549" i="3" s="1"/>
  <c r="V550" i="3" s="1"/>
  <c r="V551" i="3" s="1"/>
  <c r="V552" i="3" s="1"/>
  <c r="V553" i="3" s="1"/>
  <c r="V554" i="3" s="1"/>
  <c r="V555" i="3" s="1"/>
  <c r="V556" i="3" s="1"/>
  <c r="V557" i="3" s="1"/>
  <c r="V558" i="3" s="1"/>
  <c r="D560" i="3" s="1"/>
  <c r="D561" i="3" s="1"/>
  <c r="D562" i="3" s="1"/>
  <c r="D563" i="3" s="1"/>
  <c r="D564" i="3" s="1"/>
  <c r="D565" i="3" s="1"/>
  <c r="D566" i="3" s="1"/>
  <c r="D567" i="3" s="1"/>
  <c r="D568" i="3" s="1"/>
  <c r="D569" i="3" s="1"/>
  <c r="D570" i="3" s="1"/>
  <c r="G560" i="3" s="1"/>
  <c r="G561" i="3" s="1"/>
  <c r="G562" i="3" s="1"/>
  <c r="G563" i="3" s="1"/>
  <c r="G564" i="3" s="1"/>
  <c r="G565" i="3" s="1"/>
  <c r="G566" i="3" s="1"/>
  <c r="G567" i="3" s="1"/>
  <c r="G568" i="3" s="1"/>
  <c r="G569" i="3" s="1"/>
  <c r="G570" i="3" s="1"/>
  <c r="J560" i="3" s="1"/>
  <c r="J561" i="3" s="1"/>
  <c r="J562" i="3" s="1"/>
  <c r="J563" i="3" s="1"/>
  <c r="J564" i="3" s="1"/>
  <c r="J565" i="3" s="1"/>
  <c r="J566" i="3" s="1"/>
  <c r="J567" i="3" s="1"/>
  <c r="J568" i="3" s="1"/>
  <c r="J569" i="3" s="1"/>
  <c r="J570" i="3" s="1"/>
  <c r="M560" i="3" s="1"/>
  <c r="M561" i="3" s="1"/>
  <c r="M562" i="3" s="1"/>
  <c r="M563" i="3" s="1"/>
  <c r="M564" i="3" s="1"/>
  <c r="M565" i="3" s="1"/>
  <c r="M566" i="3" s="1"/>
  <c r="M567" i="3" s="1"/>
  <c r="M568" i="3" s="1"/>
  <c r="M569" i="3" s="1"/>
  <c r="M570" i="3" s="1"/>
  <c r="P560" i="3" s="1"/>
  <c r="P561" i="3" s="1"/>
  <c r="P562" i="3" s="1"/>
  <c r="P563" i="3" s="1"/>
  <c r="P564" i="3" s="1"/>
  <c r="P565" i="3" s="1"/>
  <c r="P566" i="3" s="1"/>
  <c r="P567" i="3" s="1"/>
  <c r="P568" i="3" s="1"/>
  <c r="P569" i="3" s="1"/>
  <c r="P570" i="3" s="1"/>
  <c r="S560" i="3" s="1"/>
  <c r="S561" i="3" s="1"/>
  <c r="S562" i="3" s="1"/>
  <c r="S563" i="3" s="1"/>
  <c r="S564" i="3" s="1"/>
  <c r="S565" i="3" s="1"/>
  <c r="S566" i="3" s="1"/>
  <c r="S567" i="3" s="1"/>
  <c r="S568" i="3" s="1"/>
  <c r="S569" i="3" s="1"/>
  <c r="S570" i="3" s="1"/>
  <c r="V560" i="3" s="1"/>
  <c r="V561" i="3" s="1"/>
  <c r="V562" i="3" s="1"/>
  <c r="V563" i="3" s="1"/>
  <c r="V564" i="3" s="1"/>
  <c r="V565" i="3" s="1"/>
  <c r="V566" i="3" s="1"/>
  <c r="V567" i="3" s="1"/>
  <c r="V568" i="3" s="1"/>
  <c r="V569" i="3" s="1"/>
  <c r="V570" i="3" s="1"/>
  <c r="D572" i="3" s="1"/>
  <c r="D573" i="3" s="1"/>
  <c r="D574" i="3" s="1"/>
  <c r="D575" i="3" s="1"/>
  <c r="D576" i="3" s="1"/>
  <c r="D577" i="3" s="1"/>
  <c r="D578" i="3" s="1"/>
  <c r="D579" i="3" s="1"/>
  <c r="D580" i="3" s="1"/>
  <c r="D581" i="3" s="1"/>
  <c r="D582" i="3" s="1"/>
  <c r="G572" i="3" s="1"/>
  <c r="G573" i="3" s="1"/>
  <c r="G574" i="3" s="1"/>
  <c r="G575" i="3" s="1"/>
  <c r="G576" i="3" s="1"/>
  <c r="G577" i="3" s="1"/>
  <c r="G578" i="3" s="1"/>
  <c r="G579" i="3" s="1"/>
  <c r="G580" i="3" s="1"/>
  <c r="G581" i="3" s="1"/>
  <c r="G582" i="3" s="1"/>
  <c r="J572" i="3" s="1"/>
  <c r="J573" i="3" s="1"/>
  <c r="J574" i="3" s="1"/>
  <c r="J575" i="3" s="1"/>
  <c r="J576" i="3" s="1"/>
  <c r="J577" i="3" s="1"/>
  <c r="J578" i="3" s="1"/>
  <c r="J579" i="3" s="1"/>
  <c r="J580" i="3" s="1"/>
  <c r="J581" i="3" s="1"/>
  <c r="J582" i="3" s="1"/>
  <c r="M572" i="3" s="1"/>
  <c r="M573" i="3" s="1"/>
  <c r="M574" i="3" s="1"/>
  <c r="M575" i="3" s="1"/>
  <c r="M576" i="3" s="1"/>
  <c r="M577" i="3" s="1"/>
  <c r="M578" i="3" s="1"/>
  <c r="M579" i="3" s="1"/>
  <c r="M580" i="3" s="1"/>
  <c r="M581" i="3" s="1"/>
  <c r="M582" i="3" s="1"/>
  <c r="P572" i="3" s="1"/>
  <c r="P573" i="3" s="1"/>
  <c r="P574" i="3" s="1"/>
  <c r="P575" i="3" s="1"/>
  <c r="P576" i="3" s="1"/>
  <c r="P577" i="3" s="1"/>
  <c r="P578" i="3" s="1"/>
  <c r="P579" i="3" s="1"/>
  <c r="P580" i="3" s="1"/>
  <c r="P581" i="3" s="1"/>
  <c r="P582" i="3" s="1"/>
  <c r="S572" i="3" s="1"/>
  <c r="S573" i="3" s="1"/>
  <c r="S574" i="3" s="1"/>
  <c r="S575" i="3" s="1"/>
  <c r="S576" i="3" s="1"/>
  <c r="S577" i="3" s="1"/>
  <c r="S578" i="3" s="1"/>
  <c r="S579" i="3" s="1"/>
  <c r="S580" i="3" s="1"/>
  <c r="S581" i="3" s="1"/>
  <c r="S582" i="3" s="1"/>
  <c r="V572" i="3" s="1"/>
  <c r="V573" i="3" s="1"/>
  <c r="V574" i="3" s="1"/>
  <c r="V575" i="3" s="1"/>
  <c r="V576" i="3" s="1"/>
  <c r="V577" i="3" s="1"/>
  <c r="V578" i="3" s="1"/>
  <c r="V579" i="3" s="1"/>
  <c r="V580" i="3" s="1"/>
  <c r="V581" i="3" s="1"/>
  <c r="V582" i="3" s="1"/>
  <c r="D584" i="3" s="1"/>
  <c r="D585" i="3" s="1"/>
  <c r="D586" i="3" s="1"/>
  <c r="D587" i="3" s="1"/>
  <c r="D588" i="3" s="1"/>
  <c r="D589" i="3" s="1"/>
  <c r="D590" i="3" s="1"/>
  <c r="D591" i="3" s="1"/>
  <c r="D592" i="3" s="1"/>
  <c r="D593" i="3" s="1"/>
  <c r="D594" i="3" s="1"/>
  <c r="G584" i="3" s="1"/>
  <c r="G585" i="3" s="1"/>
  <c r="G586" i="3" s="1"/>
  <c r="G587" i="3" s="1"/>
  <c r="G588" i="3" s="1"/>
  <c r="G589" i="3" s="1"/>
  <c r="G590" i="3" s="1"/>
  <c r="G591" i="3" s="1"/>
  <c r="G592" i="3" s="1"/>
  <c r="G593" i="3" s="1"/>
  <c r="G594" i="3" s="1"/>
  <c r="J584" i="3" s="1"/>
  <c r="J585" i="3" s="1"/>
  <c r="J586" i="3" s="1"/>
  <c r="J587" i="3" s="1"/>
  <c r="J588" i="3" s="1"/>
  <c r="J589" i="3" s="1"/>
  <c r="J590" i="3" s="1"/>
  <c r="J591" i="3" s="1"/>
  <c r="J592" i="3" s="1"/>
  <c r="J593" i="3" s="1"/>
  <c r="J594" i="3" s="1"/>
  <c r="M584" i="3" s="1"/>
  <c r="M585" i="3" s="1"/>
  <c r="M586" i="3" s="1"/>
  <c r="M587" i="3" s="1"/>
  <c r="M588" i="3" s="1"/>
  <c r="M589" i="3" s="1"/>
  <c r="M590" i="3" s="1"/>
  <c r="M591" i="3" s="1"/>
  <c r="M592" i="3" s="1"/>
  <c r="M593" i="3" s="1"/>
  <c r="M594" i="3" s="1"/>
  <c r="P584" i="3" s="1"/>
  <c r="P585" i="3" s="1"/>
  <c r="P586" i="3" s="1"/>
  <c r="P587" i="3" s="1"/>
  <c r="P588" i="3" s="1"/>
  <c r="P589" i="3" s="1"/>
  <c r="P590" i="3" s="1"/>
  <c r="P591" i="3" s="1"/>
  <c r="P592" i="3" s="1"/>
  <c r="P593" i="3" s="1"/>
  <c r="P594" i="3" s="1"/>
  <c r="S584" i="3" s="1"/>
  <c r="S585" i="3" s="1"/>
  <c r="S586" i="3" s="1"/>
  <c r="S587" i="3" s="1"/>
  <c r="S588" i="3" s="1"/>
  <c r="S589" i="3" s="1"/>
  <c r="S590" i="3" s="1"/>
  <c r="S591" i="3" s="1"/>
  <c r="S592" i="3" s="1"/>
  <c r="S593" i="3" s="1"/>
  <c r="S594" i="3" s="1"/>
  <c r="V584" i="3" s="1"/>
  <c r="V585" i="3" s="1"/>
  <c r="V586" i="3" s="1"/>
  <c r="V587" i="3" s="1"/>
  <c r="V588" i="3" s="1"/>
  <c r="V589" i="3" s="1"/>
  <c r="V590" i="3" s="1"/>
  <c r="V591" i="3" s="1"/>
  <c r="V592" i="3" s="1"/>
  <c r="V593" i="3" s="1"/>
  <c r="V594" i="3" s="1"/>
  <c r="D596" i="3" s="1"/>
  <c r="D597" i="3" s="1"/>
  <c r="D598" i="3" s="1"/>
  <c r="D599" i="3" s="1"/>
  <c r="D600" i="3" s="1"/>
  <c r="D601" i="3" s="1"/>
  <c r="D602" i="3" s="1"/>
  <c r="D603" i="3" s="1"/>
  <c r="D604" i="3" s="1"/>
  <c r="D605" i="3" s="1"/>
  <c r="D606" i="3" s="1"/>
  <c r="G596" i="3" s="1"/>
  <c r="G597" i="3" s="1"/>
  <c r="G598" i="3" s="1"/>
  <c r="G599" i="3" s="1"/>
  <c r="G600" i="3" s="1"/>
  <c r="G601" i="3" s="1"/>
  <c r="G602" i="3" s="1"/>
  <c r="G603" i="3" s="1"/>
  <c r="G604" i="3" s="1"/>
  <c r="G605" i="3" s="1"/>
  <c r="G606" i="3" s="1"/>
  <c r="J596" i="3" s="1"/>
  <c r="J597" i="3" s="1"/>
  <c r="J598" i="3" s="1"/>
  <c r="J599" i="3" s="1"/>
  <c r="J600" i="3" s="1"/>
  <c r="J601" i="3" s="1"/>
  <c r="J602" i="3" s="1"/>
  <c r="J603" i="3" s="1"/>
  <c r="J604" i="3" s="1"/>
  <c r="J605" i="3" s="1"/>
  <c r="J606" i="3" s="1"/>
  <c r="M596" i="3" s="1"/>
  <c r="M597" i="3" s="1"/>
  <c r="M598" i="3" s="1"/>
  <c r="M599" i="3" s="1"/>
  <c r="M600" i="3" s="1"/>
  <c r="M601" i="3" s="1"/>
  <c r="M602" i="3" s="1"/>
  <c r="M603" i="3" s="1"/>
  <c r="M604" i="3" s="1"/>
  <c r="M605" i="3" s="1"/>
  <c r="M606" i="3" s="1"/>
  <c r="P596" i="3" s="1"/>
  <c r="P597" i="3" s="1"/>
  <c r="P598" i="3" s="1"/>
  <c r="P599" i="3" s="1"/>
  <c r="P600" i="3" s="1"/>
  <c r="P601" i="3" s="1"/>
  <c r="P602" i="3" s="1"/>
  <c r="P603" i="3" s="1"/>
  <c r="P604" i="3" s="1"/>
  <c r="P605" i="3" s="1"/>
  <c r="P606" i="3" s="1"/>
  <c r="S596" i="3" s="1"/>
  <c r="S597" i="3" s="1"/>
  <c r="S598" i="3" s="1"/>
  <c r="S599" i="3" s="1"/>
  <c r="S600" i="3" s="1"/>
  <c r="S601" i="3" s="1"/>
  <c r="S602" i="3" s="1"/>
  <c r="S603" i="3" s="1"/>
  <c r="S604" i="3" s="1"/>
  <c r="S605" i="3" s="1"/>
  <c r="S606" i="3" s="1"/>
  <c r="V596" i="3" s="1"/>
  <c r="V597" i="3" s="1"/>
  <c r="V598" i="3" s="1"/>
  <c r="V599" i="3" s="1"/>
  <c r="V600" i="3" s="1"/>
  <c r="V601" i="3" s="1"/>
  <c r="V602" i="3" s="1"/>
  <c r="V603" i="3" s="1"/>
  <c r="V604" i="3" s="1"/>
  <c r="V605" i="3" s="1"/>
  <c r="V606" i="3" s="1"/>
  <c r="D608" i="3" s="1"/>
  <c r="D609" i="3" s="1"/>
  <c r="D610" i="3" s="1"/>
  <c r="D611" i="3" s="1"/>
  <c r="D612" i="3" s="1"/>
  <c r="D613" i="3" s="1"/>
  <c r="D614" i="3" s="1"/>
  <c r="D615" i="3" s="1"/>
  <c r="D616" i="3" s="1"/>
  <c r="D617" i="3" s="1"/>
  <c r="D618" i="3" s="1"/>
  <c r="G608" i="3" s="1"/>
  <c r="G609" i="3" s="1"/>
  <c r="G610" i="3" s="1"/>
  <c r="G611" i="3" s="1"/>
  <c r="G612" i="3" s="1"/>
  <c r="G613" i="3" s="1"/>
  <c r="G614" i="3" s="1"/>
  <c r="G615" i="3" s="1"/>
  <c r="G616" i="3" s="1"/>
  <c r="G617" i="3" s="1"/>
  <c r="G618" i="3" s="1"/>
  <c r="J608" i="3" s="1"/>
  <c r="J609" i="3" s="1"/>
  <c r="J610" i="3" s="1"/>
  <c r="J611" i="3" s="1"/>
  <c r="J612" i="3" s="1"/>
  <c r="J613" i="3" s="1"/>
  <c r="J614" i="3" s="1"/>
  <c r="J615" i="3" s="1"/>
  <c r="J616" i="3" s="1"/>
  <c r="J617" i="3" s="1"/>
  <c r="J618" i="3" s="1"/>
  <c r="M608" i="3" s="1"/>
  <c r="M609" i="3" s="1"/>
  <c r="M610" i="3" s="1"/>
  <c r="M611" i="3" s="1"/>
  <c r="M612" i="3" s="1"/>
  <c r="M613" i="3" s="1"/>
  <c r="M614" i="3" s="1"/>
  <c r="M615" i="3" s="1"/>
  <c r="M616" i="3" s="1"/>
  <c r="M617" i="3" s="1"/>
  <c r="M618" i="3" s="1"/>
  <c r="P608" i="3" s="1"/>
  <c r="P609" i="3" s="1"/>
  <c r="P610" i="3" s="1"/>
  <c r="P611" i="3" s="1"/>
  <c r="P612" i="3" s="1"/>
  <c r="P613" i="3" s="1"/>
  <c r="P614" i="3" s="1"/>
  <c r="P615" i="3" s="1"/>
  <c r="P616" i="3" s="1"/>
  <c r="P617" i="3" s="1"/>
  <c r="P618" i="3" s="1"/>
  <c r="S608" i="3" s="1"/>
  <c r="S609" i="3" s="1"/>
  <c r="S610" i="3" s="1"/>
  <c r="S611" i="3" s="1"/>
  <c r="S612" i="3" s="1"/>
  <c r="S613" i="3" s="1"/>
  <c r="S614" i="3" s="1"/>
  <c r="S615" i="3" s="1"/>
  <c r="S616" i="3" s="1"/>
  <c r="S617" i="3" s="1"/>
  <c r="S618" i="3" s="1"/>
  <c r="V608" i="3" s="1"/>
  <c r="V609" i="3" s="1"/>
  <c r="V610" i="3" s="1"/>
  <c r="V611" i="3" s="1"/>
  <c r="V612" i="3" s="1"/>
  <c r="V613" i="3" s="1"/>
  <c r="V614" i="3" s="1"/>
  <c r="V615" i="3" s="1"/>
  <c r="V616" i="3" s="1"/>
  <c r="V617" i="3" s="1"/>
  <c r="V618" i="3" s="1"/>
  <c r="D620" i="3" s="1"/>
  <c r="D621" i="3" s="1"/>
  <c r="D622" i="3" s="1"/>
  <c r="D623" i="3" s="1"/>
  <c r="D624" i="3" s="1"/>
  <c r="D625" i="3" s="1"/>
  <c r="D626" i="3" s="1"/>
  <c r="D627" i="3" s="1"/>
  <c r="D628" i="3" s="1"/>
  <c r="D629" i="3" s="1"/>
  <c r="D630" i="3" s="1"/>
  <c r="G620" i="3" s="1"/>
  <c r="G621" i="3" s="1"/>
  <c r="G622" i="3" s="1"/>
  <c r="G623" i="3" s="1"/>
  <c r="G624" i="3" s="1"/>
  <c r="G625" i="3" s="1"/>
  <c r="G626" i="3" s="1"/>
  <c r="G627" i="3" s="1"/>
  <c r="G628" i="3" s="1"/>
  <c r="G629" i="3" s="1"/>
  <c r="G630" i="3" s="1"/>
  <c r="J620" i="3" s="1"/>
  <c r="J621" i="3" s="1"/>
  <c r="J622" i="3" s="1"/>
  <c r="J623" i="3" s="1"/>
  <c r="J624" i="3" s="1"/>
  <c r="J625" i="3" s="1"/>
  <c r="J626" i="3" s="1"/>
  <c r="J627" i="3" s="1"/>
  <c r="J628" i="3" s="1"/>
  <c r="J629" i="3" s="1"/>
  <c r="J630" i="3" s="1"/>
  <c r="M620" i="3" s="1"/>
  <c r="M621" i="3" s="1"/>
  <c r="M622" i="3" s="1"/>
  <c r="M623" i="3" s="1"/>
  <c r="M624" i="3" s="1"/>
  <c r="M625" i="3" s="1"/>
  <c r="M626" i="3" s="1"/>
  <c r="M627" i="3" s="1"/>
  <c r="M628" i="3" s="1"/>
  <c r="M629" i="3" s="1"/>
  <c r="M630" i="3" s="1"/>
  <c r="P620" i="3" s="1"/>
  <c r="P621" i="3" s="1"/>
  <c r="P622" i="3" s="1"/>
  <c r="P623" i="3" s="1"/>
  <c r="P624" i="3" s="1"/>
  <c r="P625" i="3" s="1"/>
  <c r="P626" i="3" s="1"/>
  <c r="P627" i="3" s="1"/>
  <c r="P628" i="3" s="1"/>
  <c r="P629" i="3" s="1"/>
  <c r="P630" i="3" s="1"/>
  <c r="S620" i="3" s="1"/>
  <c r="S621" i="3" s="1"/>
  <c r="S622" i="3" s="1"/>
  <c r="S623" i="3" s="1"/>
  <c r="S624" i="3" s="1"/>
  <c r="S625" i="3" s="1"/>
  <c r="S626" i="3" s="1"/>
  <c r="S627" i="3" s="1"/>
  <c r="S628" i="3" s="1"/>
  <c r="S629" i="3" s="1"/>
  <c r="S630" i="3" s="1"/>
  <c r="V620" i="3" s="1"/>
  <c r="V621" i="3" s="1"/>
  <c r="V622" i="3" s="1"/>
  <c r="V623" i="3" s="1"/>
  <c r="V624" i="3" s="1"/>
  <c r="V625" i="3" s="1"/>
  <c r="V626" i="3" s="1"/>
  <c r="V627" i="3" s="1"/>
  <c r="V628" i="3" s="1"/>
  <c r="V629" i="3" s="1"/>
  <c r="V630" i="3" s="1"/>
  <c r="D632" i="3" s="1"/>
  <c r="D633" i="3" s="1"/>
  <c r="D634" i="3" s="1"/>
  <c r="D635" i="3" s="1"/>
  <c r="D636" i="3" s="1"/>
  <c r="D637" i="3" s="1"/>
  <c r="D638" i="3" s="1"/>
  <c r="D639" i="3" s="1"/>
  <c r="D640" i="3" s="1"/>
  <c r="D641" i="3" s="1"/>
  <c r="D642" i="3" s="1"/>
  <c r="G632" i="3" s="1"/>
  <c r="G633" i="3" s="1"/>
  <c r="G634" i="3" s="1"/>
  <c r="G635" i="3" s="1"/>
  <c r="G636" i="3" s="1"/>
  <c r="G637" i="3" s="1"/>
  <c r="G638" i="3" s="1"/>
  <c r="G639" i="3" s="1"/>
  <c r="G640" i="3" s="1"/>
  <c r="G641" i="3" s="1"/>
  <c r="G642" i="3" s="1"/>
  <c r="J632" i="3" s="1"/>
  <c r="J633" i="3" s="1"/>
  <c r="J634" i="3" s="1"/>
  <c r="J635" i="3" s="1"/>
  <c r="J636" i="3" s="1"/>
  <c r="J637" i="3" s="1"/>
  <c r="J638" i="3" s="1"/>
  <c r="J639" i="3" s="1"/>
  <c r="J640" i="3" s="1"/>
  <c r="J641" i="3" s="1"/>
  <c r="J642" i="3" s="1"/>
  <c r="M632" i="3" s="1"/>
  <c r="M633" i="3" s="1"/>
  <c r="M634" i="3" s="1"/>
  <c r="M635" i="3" s="1"/>
  <c r="M636" i="3" s="1"/>
  <c r="M637" i="3" s="1"/>
  <c r="M638" i="3" s="1"/>
  <c r="M639" i="3" s="1"/>
  <c r="M640" i="3" s="1"/>
  <c r="M641" i="3" s="1"/>
  <c r="M642" i="3" s="1"/>
  <c r="P632" i="3" s="1"/>
  <c r="P633" i="3" s="1"/>
  <c r="P634" i="3" s="1"/>
  <c r="P635" i="3" s="1"/>
  <c r="P636" i="3" s="1"/>
  <c r="P637" i="3" s="1"/>
  <c r="P638" i="3" s="1"/>
  <c r="P639" i="3" s="1"/>
  <c r="P640" i="3" s="1"/>
  <c r="P641" i="3" s="1"/>
  <c r="P642" i="3" s="1"/>
  <c r="S632" i="3" s="1"/>
  <c r="S633" i="3" s="1"/>
  <c r="S634" i="3" s="1"/>
  <c r="S635" i="3" s="1"/>
  <c r="S636" i="3" s="1"/>
  <c r="S637" i="3" s="1"/>
  <c r="S638" i="3" s="1"/>
  <c r="S639" i="3" s="1"/>
  <c r="S640" i="3" s="1"/>
  <c r="S641" i="3" s="1"/>
  <c r="S642" i="3" s="1"/>
  <c r="V632" i="3" s="1"/>
  <c r="V633" i="3" s="1"/>
  <c r="V634" i="3" s="1"/>
  <c r="V635" i="3" s="1"/>
  <c r="V636" i="3" s="1"/>
  <c r="V637" i="3" s="1"/>
  <c r="V638" i="3" s="1"/>
  <c r="V639" i="3" s="1"/>
  <c r="V640" i="3" s="1"/>
  <c r="V641" i="3" s="1"/>
  <c r="V642" i="3" s="1"/>
  <c r="D10" i="3"/>
  <c r="D11" i="3" s="1"/>
  <c r="G4" i="3" s="1"/>
  <c r="G5" i="3" s="1"/>
  <c r="G6" i="3" s="1"/>
  <c r="G7" i="3" s="1"/>
  <c r="G8" i="3" s="1"/>
  <c r="G9" i="3" s="1"/>
  <c r="G10" i="3" s="1"/>
  <c r="G11" i="3" s="1"/>
  <c r="J4" i="3" s="1"/>
  <c r="J5" i="3" s="1"/>
  <c r="J6" i="3" s="1"/>
  <c r="J7" i="3" s="1"/>
  <c r="J8" i="3" s="1"/>
  <c r="J9" i="3"/>
  <c r="J10" i="3" s="1"/>
  <c r="J11" i="3" s="1"/>
  <c r="M4" i="3" s="1"/>
  <c r="M5" i="3" s="1"/>
  <c r="M6" i="3" s="1"/>
  <c r="M7" i="3" s="1"/>
  <c r="M8" i="3" s="1"/>
  <c r="M9" i="3" s="1"/>
  <c r="M10" i="3" s="1"/>
  <c r="D8" i="3"/>
  <c r="D9" i="3" s="1"/>
  <c r="T2" i="3"/>
  <c r="Q2" i="3"/>
  <c r="N2" i="3"/>
  <c r="K2" i="3"/>
  <c r="H2" i="3"/>
  <c r="E2" i="3"/>
  <c r="T631" i="2"/>
  <c r="Q631" i="2"/>
  <c r="N631" i="2"/>
  <c r="K631" i="2"/>
  <c r="H631" i="2"/>
  <c r="E631" i="2"/>
  <c r="B631" i="2"/>
  <c r="T619" i="2"/>
  <c r="Q619" i="2"/>
  <c r="N619" i="2"/>
  <c r="K619" i="2"/>
  <c r="H619" i="2"/>
  <c r="E619" i="2"/>
  <c r="B619" i="2"/>
  <c r="T607" i="2"/>
  <c r="Q607" i="2"/>
  <c r="N607" i="2"/>
  <c r="K607" i="2"/>
  <c r="H607" i="2"/>
  <c r="E607" i="2"/>
  <c r="B607" i="2"/>
  <c r="T595" i="2"/>
  <c r="Q595" i="2"/>
  <c r="N595" i="2"/>
  <c r="K595" i="2"/>
  <c r="H595" i="2"/>
  <c r="E595" i="2"/>
  <c r="B595" i="2"/>
  <c r="T583" i="2"/>
  <c r="Q583" i="2"/>
  <c r="N583" i="2"/>
  <c r="K583" i="2"/>
  <c r="H583" i="2"/>
  <c r="E583" i="2"/>
  <c r="B583" i="2"/>
  <c r="T571" i="2"/>
  <c r="Q571" i="2"/>
  <c r="N571" i="2"/>
  <c r="K571" i="2"/>
  <c r="H571" i="2"/>
  <c r="E571" i="2"/>
  <c r="B571" i="2"/>
  <c r="T559" i="2"/>
  <c r="Q559" i="2"/>
  <c r="N559" i="2"/>
  <c r="K559" i="2"/>
  <c r="H559" i="2"/>
  <c r="E559" i="2"/>
  <c r="B559" i="2"/>
  <c r="T547" i="2"/>
  <c r="Q547" i="2"/>
  <c r="N547" i="2"/>
  <c r="K547" i="2"/>
  <c r="H547" i="2"/>
  <c r="E547" i="2"/>
  <c r="B547" i="2"/>
  <c r="T535" i="2"/>
  <c r="Q535" i="2"/>
  <c r="N535" i="2"/>
  <c r="K535" i="2"/>
  <c r="H535" i="2"/>
  <c r="E535" i="2"/>
  <c r="B535" i="2"/>
  <c r="T523" i="2"/>
  <c r="Q523" i="2"/>
  <c r="N523" i="2"/>
  <c r="K523" i="2"/>
  <c r="H523" i="2"/>
  <c r="E523" i="2"/>
  <c r="B523" i="2"/>
  <c r="T511" i="2"/>
  <c r="Q511" i="2"/>
  <c r="N511" i="2"/>
  <c r="K511" i="2"/>
  <c r="H511" i="2"/>
  <c r="E511" i="2"/>
  <c r="B511" i="2"/>
  <c r="T499" i="2"/>
  <c r="Q499" i="2"/>
  <c r="N499" i="2"/>
  <c r="K499" i="2"/>
  <c r="H499" i="2"/>
  <c r="E499" i="2"/>
  <c r="B499" i="2"/>
  <c r="T487" i="2"/>
  <c r="Q487" i="2"/>
  <c r="N487" i="2"/>
  <c r="K487" i="2"/>
  <c r="H487" i="2"/>
  <c r="E487" i="2"/>
  <c r="B487" i="2"/>
  <c r="T475" i="2"/>
  <c r="Q475" i="2"/>
  <c r="N475" i="2"/>
  <c r="K475" i="2"/>
  <c r="H475" i="2"/>
  <c r="E475" i="2"/>
  <c r="B475" i="2"/>
  <c r="T463" i="2"/>
  <c r="Q463" i="2"/>
  <c r="N463" i="2"/>
  <c r="K463" i="2"/>
  <c r="H463" i="2"/>
  <c r="E463" i="2"/>
  <c r="B463" i="2"/>
  <c r="T451" i="2"/>
  <c r="Q451" i="2"/>
  <c r="N451" i="2"/>
  <c r="K451" i="2"/>
  <c r="H451" i="2"/>
  <c r="E451" i="2"/>
  <c r="B451" i="2"/>
  <c r="T439" i="2"/>
  <c r="Q439" i="2"/>
  <c r="N439" i="2"/>
  <c r="K439" i="2"/>
  <c r="H439" i="2"/>
  <c r="E439" i="2"/>
  <c r="B439" i="2"/>
  <c r="T427" i="2"/>
  <c r="Q427" i="2"/>
  <c r="N427" i="2"/>
  <c r="K427" i="2"/>
  <c r="H427" i="2"/>
  <c r="E427" i="2"/>
  <c r="B427" i="2"/>
  <c r="T415" i="2"/>
  <c r="Q415" i="2"/>
  <c r="N415" i="2"/>
  <c r="K415" i="2"/>
  <c r="H415" i="2"/>
  <c r="E415" i="2"/>
  <c r="B415" i="2"/>
  <c r="T403" i="2"/>
  <c r="Q403" i="2"/>
  <c r="N403" i="2"/>
  <c r="K403" i="2"/>
  <c r="H403" i="2"/>
  <c r="E403" i="2"/>
  <c r="B403" i="2"/>
  <c r="T391" i="2"/>
  <c r="Q391" i="2"/>
  <c r="N391" i="2"/>
  <c r="K391" i="2"/>
  <c r="H391" i="2"/>
  <c r="E391" i="2"/>
  <c r="B391" i="2"/>
  <c r="T379" i="2"/>
  <c r="Q379" i="2"/>
  <c r="N379" i="2"/>
  <c r="K379" i="2"/>
  <c r="H379" i="2"/>
  <c r="E379" i="2"/>
  <c r="B379" i="2"/>
  <c r="T367" i="2"/>
  <c r="Q367" i="2"/>
  <c r="N367" i="2"/>
  <c r="K367" i="2"/>
  <c r="H367" i="2"/>
  <c r="E367" i="2"/>
  <c r="B367" i="2"/>
  <c r="T355" i="2"/>
  <c r="Q355" i="2"/>
  <c r="N355" i="2"/>
  <c r="K355" i="2"/>
  <c r="H355" i="2"/>
  <c r="E355" i="2"/>
  <c r="B355" i="2"/>
  <c r="T343" i="2"/>
  <c r="Q343" i="2"/>
  <c r="N343" i="2"/>
  <c r="K343" i="2"/>
  <c r="H343" i="2"/>
  <c r="E343" i="2"/>
  <c r="B343" i="2"/>
  <c r="T331" i="2"/>
  <c r="Q331" i="2"/>
  <c r="N331" i="2"/>
  <c r="K331" i="2"/>
  <c r="H331" i="2"/>
  <c r="E331" i="2"/>
  <c r="B331" i="2"/>
  <c r="T319" i="2"/>
  <c r="Q319" i="2"/>
  <c r="N319" i="2"/>
  <c r="K319" i="2"/>
  <c r="H319" i="2"/>
  <c r="E319" i="2"/>
  <c r="B319" i="2"/>
  <c r="T307" i="2"/>
  <c r="Q307" i="2"/>
  <c r="N307" i="2"/>
  <c r="K307" i="2"/>
  <c r="H307" i="2"/>
  <c r="E307" i="2"/>
  <c r="B307" i="2"/>
  <c r="T295" i="2"/>
  <c r="Q295" i="2"/>
  <c r="N295" i="2"/>
  <c r="K295" i="2"/>
  <c r="H295" i="2"/>
  <c r="E295" i="2"/>
  <c r="B295" i="2"/>
  <c r="T283" i="2"/>
  <c r="Q283" i="2"/>
  <c r="N283" i="2"/>
  <c r="K283" i="2"/>
  <c r="H283" i="2"/>
  <c r="E283" i="2"/>
  <c r="B283" i="2"/>
  <c r="T271" i="2"/>
  <c r="Q271" i="2"/>
  <c r="N271" i="2"/>
  <c r="K271" i="2"/>
  <c r="H271" i="2"/>
  <c r="E271" i="2"/>
  <c r="B271" i="2"/>
  <c r="T259" i="2"/>
  <c r="Q259" i="2"/>
  <c r="N259" i="2"/>
  <c r="K259" i="2"/>
  <c r="H259" i="2"/>
  <c r="E259" i="2"/>
  <c r="B259" i="2"/>
  <c r="T247" i="2"/>
  <c r="Q247" i="2"/>
  <c r="N247" i="2"/>
  <c r="K247" i="2"/>
  <c r="H247" i="2"/>
  <c r="E247" i="2"/>
  <c r="B247" i="2"/>
  <c r="T235" i="2"/>
  <c r="Q235" i="2"/>
  <c r="N235" i="2"/>
  <c r="K235" i="2"/>
  <c r="H235" i="2"/>
  <c r="E235" i="2"/>
  <c r="B235" i="2"/>
  <c r="T223" i="2"/>
  <c r="Q223" i="2"/>
  <c r="N223" i="2"/>
  <c r="K223" i="2"/>
  <c r="H223" i="2"/>
  <c r="E223" i="2"/>
  <c r="B223" i="2"/>
  <c r="T211" i="2"/>
  <c r="Q211" i="2"/>
  <c r="N211" i="2"/>
  <c r="K211" i="2"/>
  <c r="H211" i="2"/>
  <c r="E211" i="2"/>
  <c r="B211" i="2"/>
  <c r="T199" i="2"/>
  <c r="Q199" i="2"/>
  <c r="N199" i="2"/>
  <c r="K199" i="2"/>
  <c r="H199" i="2"/>
  <c r="E199" i="2"/>
  <c r="B199" i="2"/>
  <c r="T187" i="2"/>
  <c r="Q187" i="2"/>
  <c r="N187" i="2"/>
  <c r="K187" i="2"/>
  <c r="H187" i="2"/>
  <c r="E187" i="2"/>
  <c r="B187" i="2"/>
  <c r="T175" i="2"/>
  <c r="Q175" i="2"/>
  <c r="N175" i="2"/>
  <c r="K175" i="2"/>
  <c r="H175" i="2"/>
  <c r="E175" i="2"/>
  <c r="B175" i="2"/>
  <c r="T163" i="2"/>
  <c r="Q163" i="2"/>
  <c r="N163" i="2"/>
  <c r="K163" i="2"/>
  <c r="H163" i="2"/>
  <c r="E163" i="2"/>
  <c r="B163" i="2"/>
  <c r="T151" i="2"/>
  <c r="Q151" i="2"/>
  <c r="N151" i="2"/>
  <c r="K151" i="2"/>
  <c r="H151" i="2"/>
  <c r="E151" i="2"/>
  <c r="B151" i="2"/>
  <c r="T139" i="2"/>
  <c r="Q139" i="2"/>
  <c r="N139" i="2"/>
  <c r="K139" i="2"/>
  <c r="H139" i="2"/>
  <c r="E139" i="2"/>
  <c r="B139" i="2"/>
  <c r="T127" i="2"/>
  <c r="Q127" i="2"/>
  <c r="N127" i="2"/>
  <c r="K127" i="2"/>
  <c r="H127" i="2"/>
  <c r="E127" i="2"/>
  <c r="B127" i="2"/>
  <c r="T115" i="2"/>
  <c r="Q115" i="2"/>
  <c r="N115" i="2"/>
  <c r="K115" i="2"/>
  <c r="H115" i="2"/>
  <c r="E115" i="2"/>
  <c r="B115" i="2"/>
  <c r="T103" i="2"/>
  <c r="Q103" i="2"/>
  <c r="N103" i="2"/>
  <c r="K103" i="2"/>
  <c r="H103" i="2"/>
  <c r="E103" i="2"/>
  <c r="B103" i="2"/>
  <c r="T91" i="2"/>
  <c r="Q91" i="2"/>
  <c r="N91" i="2"/>
  <c r="K91" i="2"/>
  <c r="H91" i="2"/>
  <c r="E91" i="2"/>
  <c r="B91" i="2"/>
  <c r="T79" i="2"/>
  <c r="Q79" i="2"/>
  <c r="N79" i="2"/>
  <c r="K79" i="2"/>
  <c r="H79" i="2"/>
  <c r="E79" i="2"/>
  <c r="B79" i="2"/>
  <c r="T67" i="2"/>
  <c r="Q67" i="2"/>
  <c r="N67" i="2"/>
  <c r="K67" i="2"/>
  <c r="H67" i="2"/>
  <c r="E67" i="2"/>
  <c r="B67" i="2"/>
  <c r="T57" i="2"/>
  <c r="Q57" i="2"/>
  <c r="N57" i="2"/>
  <c r="K57" i="2"/>
  <c r="H57" i="2"/>
  <c r="E57" i="2"/>
  <c r="B57" i="2"/>
  <c r="T45" i="2"/>
  <c r="Q45" i="2"/>
  <c r="N45" i="2"/>
  <c r="K45" i="2"/>
  <c r="H45" i="2"/>
  <c r="E45" i="2"/>
  <c r="B45" i="2"/>
  <c r="T34" i="2"/>
  <c r="Q34" i="2"/>
  <c r="N34" i="2"/>
  <c r="K34" i="2"/>
  <c r="H34" i="2"/>
  <c r="E34" i="2"/>
  <c r="B34" i="2"/>
  <c r="T23" i="2"/>
  <c r="Q23" i="2"/>
  <c r="N23" i="2"/>
  <c r="K23" i="2"/>
  <c r="H23" i="2"/>
  <c r="E23" i="2"/>
  <c r="B23" i="2"/>
  <c r="T12" i="2"/>
  <c r="Q12" i="2"/>
  <c r="N12" i="2"/>
  <c r="K12" i="2"/>
  <c r="H12" i="2"/>
  <c r="E12" i="2"/>
  <c r="B12" i="2"/>
  <c r="D8" i="2"/>
  <c r="D9" i="2" s="1"/>
  <c r="D10" i="2" s="1"/>
  <c r="D11" i="2" s="1"/>
  <c r="G4" i="2"/>
  <c r="G5" i="2" s="1"/>
  <c r="G6" i="2" s="1"/>
  <c r="G7" i="2" s="1"/>
  <c r="G8" i="2" s="1"/>
  <c r="G9" i="2" s="1"/>
  <c r="G10" i="2" s="1"/>
  <c r="G11" i="2" s="1"/>
  <c r="J4" i="2" s="1"/>
  <c r="J5" i="2" s="1"/>
  <c r="J6" i="2" s="1"/>
  <c r="J7" i="2" s="1"/>
  <c r="J8" i="2" s="1"/>
  <c r="J9" i="2" s="1"/>
  <c r="J10" i="2" s="1"/>
  <c r="J11" i="2" s="1"/>
  <c r="M4" i="2" s="1"/>
  <c r="M5" i="2" s="1"/>
  <c r="M6" i="2" s="1"/>
  <c r="M7" i="2" s="1"/>
  <c r="M8" i="2" s="1"/>
  <c r="M9" i="2" s="1"/>
  <c r="M10" i="2" s="1"/>
  <c r="M11" i="2" s="1"/>
  <c r="P4" i="2" s="1"/>
  <c r="P5" i="2" s="1"/>
  <c r="P6" i="2" s="1"/>
  <c r="P7" i="2" s="1"/>
  <c r="P8" i="2" s="1"/>
  <c r="P9" i="2" s="1"/>
  <c r="P10" i="2" s="1"/>
  <c r="P11" i="2" s="1"/>
  <c r="S4" i="2" s="1"/>
  <c r="S5" i="2" s="1"/>
  <c r="S6" i="2" s="1"/>
  <c r="S7" i="2" s="1"/>
  <c r="S8" i="2" s="1"/>
  <c r="S9" i="2" s="1"/>
  <c r="S10" i="2" s="1"/>
  <c r="S11" i="2" s="1"/>
  <c r="V4" i="2" s="1"/>
  <c r="V5" i="2" s="1"/>
  <c r="V6" i="2" s="1"/>
  <c r="V7" i="2" s="1"/>
  <c r="V8" i="2" s="1"/>
  <c r="V9" i="2" s="1"/>
  <c r="V10" i="2" s="1"/>
  <c r="V11" i="2" s="1"/>
  <c r="D13" i="2" s="1"/>
  <c r="D14" i="2" s="1"/>
  <c r="D15" i="2" s="1"/>
  <c r="D16" i="2" s="1"/>
  <c r="D17" i="2" s="1"/>
  <c r="D18" i="2" s="1"/>
  <c r="D19" i="2" s="1"/>
  <c r="D20" i="2" s="1"/>
  <c r="D21" i="2" s="1"/>
  <c r="D22" i="2" s="1"/>
  <c r="G13" i="2" s="1"/>
  <c r="G14" i="2" s="1"/>
  <c r="G15" i="2" s="1"/>
  <c r="G16" i="2" s="1"/>
  <c r="G17" i="2" s="1"/>
  <c r="G18" i="2" s="1"/>
  <c r="G19" i="2" s="1"/>
  <c r="G20" i="2" s="1"/>
  <c r="G21" i="2" s="1"/>
  <c r="G22" i="2" s="1"/>
  <c r="J13" i="2" s="1"/>
  <c r="J14" i="2" s="1"/>
  <c r="J15" i="2" s="1"/>
  <c r="J16" i="2" s="1"/>
  <c r="J17" i="2" s="1"/>
  <c r="J18" i="2" s="1"/>
  <c r="J19" i="2" s="1"/>
  <c r="J20" i="2" s="1"/>
  <c r="J21" i="2" s="1"/>
  <c r="J22" i="2" s="1"/>
  <c r="M13" i="2" s="1"/>
  <c r="M14" i="2" s="1"/>
  <c r="M15" i="2" s="1"/>
  <c r="M16" i="2" s="1"/>
  <c r="M17" i="2" s="1"/>
  <c r="M18" i="2" s="1"/>
  <c r="M19" i="2" s="1"/>
  <c r="M20" i="2" s="1"/>
  <c r="M21" i="2" s="1"/>
  <c r="M22" i="2" s="1"/>
  <c r="P13" i="2" s="1"/>
  <c r="P14" i="2" s="1"/>
  <c r="P15" i="2" s="1"/>
  <c r="P16" i="2" s="1"/>
  <c r="P17" i="2" s="1"/>
  <c r="P18" i="2" s="1"/>
  <c r="P19" i="2" s="1"/>
  <c r="P20" i="2" s="1"/>
  <c r="P21" i="2" s="1"/>
  <c r="P22" i="2" s="1"/>
  <c r="S13" i="2" s="1"/>
  <c r="S14" i="2" s="1"/>
  <c r="S15" i="2" s="1"/>
  <c r="S16" i="2" s="1"/>
  <c r="S17" i="2" s="1"/>
  <c r="S18" i="2" s="1"/>
  <c r="S19" i="2" s="1"/>
  <c r="S20" i="2" s="1"/>
  <c r="S21" i="2" s="1"/>
  <c r="S22" i="2" s="1"/>
  <c r="V13" i="2" s="1"/>
  <c r="V14" i="2" s="1"/>
  <c r="V15" i="2" s="1"/>
  <c r="V16" i="2" s="1"/>
  <c r="V17" i="2" s="1"/>
  <c r="V18" i="2" s="1"/>
  <c r="V19" i="2" s="1"/>
  <c r="V20" i="2" s="1"/>
  <c r="V21" i="2" s="1"/>
  <c r="V22" i="2" s="1"/>
  <c r="D24" i="2" s="1"/>
  <c r="D25" i="2" s="1"/>
  <c r="D26" i="2" s="1"/>
  <c r="D27" i="2" s="1"/>
  <c r="D28" i="2" s="1"/>
  <c r="D29" i="2" s="1"/>
  <c r="D30" i="2" s="1"/>
  <c r="D31" i="2" s="1"/>
  <c r="D32" i="2" s="1"/>
  <c r="D33" i="2" s="1"/>
  <c r="G24" i="2" s="1"/>
  <c r="G25" i="2" s="1"/>
  <c r="G26" i="2" s="1"/>
  <c r="G27" i="2" s="1"/>
  <c r="G28" i="2" s="1"/>
  <c r="G29" i="2" s="1"/>
  <c r="G30" i="2" s="1"/>
  <c r="G31" i="2" s="1"/>
  <c r="G32" i="2" s="1"/>
  <c r="G33" i="2" s="1"/>
  <c r="J24" i="2" s="1"/>
  <c r="J25" i="2" s="1"/>
  <c r="J26" i="2" s="1"/>
  <c r="J27" i="2" s="1"/>
  <c r="J28" i="2" s="1"/>
  <c r="J29" i="2" s="1"/>
  <c r="J30" i="2" s="1"/>
  <c r="J31" i="2" s="1"/>
  <c r="J32" i="2" s="1"/>
  <c r="J33" i="2" s="1"/>
  <c r="M24" i="2" s="1"/>
  <c r="M25" i="2" s="1"/>
  <c r="M26" i="2" s="1"/>
  <c r="M27" i="2" s="1"/>
  <c r="M28" i="2" s="1"/>
  <c r="M29" i="2" s="1"/>
  <c r="M30" i="2" s="1"/>
  <c r="M31" i="2" s="1"/>
  <c r="M32" i="2" s="1"/>
  <c r="M33" i="2" s="1"/>
  <c r="P24" i="2" s="1"/>
  <c r="P25" i="2" s="1"/>
  <c r="P26" i="2" s="1"/>
  <c r="P27" i="2" s="1"/>
  <c r="P28" i="2" s="1"/>
  <c r="P29" i="2" s="1"/>
  <c r="P30" i="2" s="1"/>
  <c r="P31" i="2" s="1"/>
  <c r="P32" i="2" s="1"/>
  <c r="P33" i="2" s="1"/>
  <c r="S24" i="2" s="1"/>
  <c r="S25" i="2" s="1"/>
  <c r="S26" i="2" s="1"/>
  <c r="S27" i="2" s="1"/>
  <c r="S28" i="2" s="1"/>
  <c r="S29" i="2" s="1"/>
  <c r="S30" i="2" s="1"/>
  <c r="S31" i="2" s="1"/>
  <c r="S32" i="2" s="1"/>
  <c r="S33" i="2" s="1"/>
  <c r="V24" i="2" s="1"/>
  <c r="V25" i="2" s="1"/>
  <c r="V26" i="2" s="1"/>
  <c r="V27" i="2" s="1"/>
  <c r="V28" i="2" s="1"/>
  <c r="V29" i="2" s="1"/>
  <c r="V30" i="2" s="1"/>
  <c r="V31" i="2" s="1"/>
  <c r="V32" i="2" s="1"/>
  <c r="V33" i="2" s="1"/>
  <c r="D35" i="2" s="1"/>
  <c r="D36" i="2" s="1"/>
  <c r="D37" i="2" s="1"/>
  <c r="D38" i="2" s="1"/>
  <c r="D39" i="2" s="1"/>
  <c r="D40" i="2" s="1"/>
  <c r="D41" i="2" s="1"/>
  <c r="D42" i="2" s="1"/>
  <c r="D43" i="2" s="1"/>
  <c r="D44" i="2" s="1"/>
  <c r="G35" i="2" s="1"/>
  <c r="G36" i="2" s="1"/>
  <c r="G37" i="2" s="1"/>
  <c r="G38" i="2" s="1"/>
  <c r="G39" i="2" s="1"/>
  <c r="G40" i="2" s="1"/>
  <c r="G41" i="2" s="1"/>
  <c r="G42" i="2" s="1"/>
  <c r="G43" i="2" s="1"/>
  <c r="G44" i="2" s="1"/>
  <c r="J35" i="2" s="1"/>
  <c r="J36" i="2" s="1"/>
  <c r="J37" i="2" s="1"/>
  <c r="J38" i="2" s="1"/>
  <c r="J39" i="2" s="1"/>
  <c r="J40" i="2" s="1"/>
  <c r="J41" i="2" s="1"/>
  <c r="J42" i="2" s="1"/>
  <c r="J43" i="2" s="1"/>
  <c r="J44" i="2" s="1"/>
  <c r="M35" i="2" s="1"/>
  <c r="M36" i="2" s="1"/>
  <c r="M37" i="2" s="1"/>
  <c r="M38" i="2" s="1"/>
  <c r="M39" i="2" s="1"/>
  <c r="M40" i="2" s="1"/>
  <c r="M41" i="2" s="1"/>
  <c r="M42" i="2" s="1"/>
  <c r="M43" i="2" s="1"/>
  <c r="M44" i="2" s="1"/>
  <c r="P35" i="2" s="1"/>
  <c r="P36" i="2" s="1"/>
  <c r="P37" i="2" s="1"/>
  <c r="P38" i="2" s="1"/>
  <c r="P39" i="2" s="1"/>
  <c r="P40" i="2" s="1"/>
  <c r="P41" i="2" s="1"/>
  <c r="P42" i="2" s="1"/>
  <c r="P43" i="2" s="1"/>
  <c r="P44" i="2" s="1"/>
  <c r="S35" i="2" s="1"/>
  <c r="S36" i="2" s="1"/>
  <c r="S37" i="2" s="1"/>
  <c r="S38" i="2" s="1"/>
  <c r="S39" i="2" s="1"/>
  <c r="S40" i="2" s="1"/>
  <c r="S41" i="2" s="1"/>
  <c r="S42" i="2" s="1"/>
  <c r="S43" i="2" s="1"/>
  <c r="S44" i="2" s="1"/>
  <c r="V35" i="2" s="1"/>
  <c r="V36" i="2" s="1"/>
  <c r="V37" i="2" s="1"/>
  <c r="V38" i="2" s="1"/>
  <c r="V39" i="2" s="1"/>
  <c r="V40" i="2" s="1"/>
  <c r="V41" i="2" s="1"/>
  <c r="V42" i="2" s="1"/>
  <c r="V43" i="2" s="1"/>
  <c r="V44" i="2" s="1"/>
  <c r="D46" i="2" s="1"/>
  <c r="D47" i="2" s="1"/>
  <c r="D48" i="2" s="1"/>
  <c r="D49" i="2" s="1"/>
  <c r="D50" i="2" s="1"/>
  <c r="D51" i="2" s="1"/>
  <c r="D52" i="2" s="1"/>
  <c r="D53" i="2" s="1"/>
  <c r="D54" i="2" s="1"/>
  <c r="D55" i="2" s="1"/>
  <c r="D56" i="2" s="1"/>
  <c r="G46" i="2" s="1"/>
  <c r="G47" i="2" s="1"/>
  <c r="G48" i="2" s="1"/>
  <c r="G49" i="2" s="1"/>
  <c r="G50" i="2" s="1"/>
  <c r="G51" i="2" s="1"/>
  <c r="G52" i="2" s="1"/>
  <c r="G53" i="2" s="1"/>
  <c r="G54" i="2" s="1"/>
  <c r="G55" i="2" s="1"/>
  <c r="G56" i="2" s="1"/>
  <c r="J46" i="2" s="1"/>
  <c r="J47" i="2" s="1"/>
  <c r="J48" i="2" s="1"/>
  <c r="J49" i="2" s="1"/>
  <c r="J50" i="2" s="1"/>
  <c r="J51" i="2" s="1"/>
  <c r="J52" i="2" s="1"/>
  <c r="J53" i="2" s="1"/>
  <c r="J54" i="2" s="1"/>
  <c r="J55" i="2" s="1"/>
  <c r="J56" i="2" s="1"/>
  <c r="M46" i="2" s="1"/>
  <c r="M47" i="2" s="1"/>
  <c r="M48" i="2" s="1"/>
  <c r="M49" i="2" s="1"/>
  <c r="M50" i="2" s="1"/>
  <c r="M51" i="2" s="1"/>
  <c r="M52" i="2" s="1"/>
  <c r="M53" i="2" s="1"/>
  <c r="M54" i="2" s="1"/>
  <c r="M55" i="2" s="1"/>
  <c r="M56" i="2" s="1"/>
  <c r="P46" i="2" s="1"/>
  <c r="P47" i="2" s="1"/>
  <c r="P48" i="2" s="1"/>
  <c r="P49" i="2" s="1"/>
  <c r="P50" i="2" s="1"/>
  <c r="P51" i="2" s="1"/>
  <c r="P52" i="2" s="1"/>
  <c r="P53" i="2" s="1"/>
  <c r="P54" i="2" s="1"/>
  <c r="P55" i="2" s="1"/>
  <c r="P56" i="2" s="1"/>
  <c r="S46" i="2" s="1"/>
  <c r="S47" i="2" s="1"/>
  <c r="S48" i="2" s="1"/>
  <c r="S49" i="2" s="1"/>
  <c r="S50" i="2" s="1"/>
  <c r="S51" i="2" s="1"/>
  <c r="S52" i="2" s="1"/>
  <c r="S53" i="2" s="1"/>
  <c r="S54" i="2" s="1"/>
  <c r="S55" i="2" s="1"/>
  <c r="S56" i="2" s="1"/>
  <c r="V46" i="2" s="1"/>
  <c r="V47" i="2" s="1"/>
  <c r="V48" i="2" s="1"/>
  <c r="V49" i="2" s="1"/>
  <c r="V50" i="2" s="1"/>
  <c r="V51" i="2" s="1"/>
  <c r="V52" i="2" s="1"/>
  <c r="V53" i="2" s="1"/>
  <c r="V54" i="2" s="1"/>
  <c r="V55" i="2" s="1"/>
  <c r="V56" i="2" s="1"/>
  <c r="D58" i="2" s="1"/>
  <c r="D59" i="2" s="1"/>
  <c r="D60" i="2" s="1"/>
  <c r="D61" i="2" s="1"/>
  <c r="D62" i="2" s="1"/>
  <c r="D63" i="2" s="1"/>
  <c r="D64" i="2" s="1"/>
  <c r="D65" i="2" s="1"/>
  <c r="D66" i="2" s="1"/>
  <c r="G58" i="2" s="1"/>
  <c r="G59" i="2" s="1"/>
  <c r="G60" i="2" s="1"/>
  <c r="G61" i="2" s="1"/>
  <c r="G62" i="2" s="1"/>
  <c r="G63" i="2" s="1"/>
  <c r="G64" i="2" s="1"/>
  <c r="G65" i="2" s="1"/>
  <c r="G66" i="2" s="1"/>
  <c r="J58" i="2" s="1"/>
  <c r="J59" i="2" s="1"/>
  <c r="J60" i="2" s="1"/>
  <c r="J61" i="2" s="1"/>
  <c r="J62" i="2" s="1"/>
  <c r="J63" i="2" s="1"/>
  <c r="J64" i="2" s="1"/>
  <c r="J65" i="2" s="1"/>
  <c r="J66" i="2" s="1"/>
  <c r="M58" i="2" s="1"/>
  <c r="M59" i="2" s="1"/>
  <c r="M60" i="2" s="1"/>
  <c r="M61" i="2" s="1"/>
  <c r="M62" i="2" s="1"/>
  <c r="M63" i="2" s="1"/>
  <c r="M64" i="2" s="1"/>
  <c r="M65" i="2" s="1"/>
  <c r="M66" i="2" s="1"/>
  <c r="P58" i="2" s="1"/>
  <c r="P59" i="2" s="1"/>
  <c r="P60" i="2" s="1"/>
  <c r="P61" i="2" s="1"/>
  <c r="P62" i="2" s="1"/>
  <c r="P63" i="2" s="1"/>
  <c r="P64" i="2" s="1"/>
  <c r="P65" i="2" s="1"/>
  <c r="P66" i="2" s="1"/>
  <c r="S58" i="2" s="1"/>
  <c r="S59" i="2" s="1"/>
  <c r="S60" i="2" s="1"/>
  <c r="S61" i="2" s="1"/>
  <c r="S62" i="2" s="1"/>
  <c r="S63" i="2" s="1"/>
  <c r="S64" i="2" s="1"/>
  <c r="S65" i="2" s="1"/>
  <c r="S66" i="2" s="1"/>
  <c r="V58" i="2" s="1"/>
  <c r="V59" i="2" s="1"/>
  <c r="V60" i="2" s="1"/>
  <c r="V61" i="2" s="1"/>
  <c r="V62" i="2" s="1"/>
  <c r="V63" i="2" s="1"/>
  <c r="V64" i="2" s="1"/>
  <c r="V65" i="2" s="1"/>
  <c r="V66" i="2" s="1"/>
  <c r="D68" i="2" s="1"/>
  <c r="D69" i="2" s="1"/>
  <c r="D70" i="2" s="1"/>
  <c r="D71" i="2" s="1"/>
  <c r="D72" i="2" s="1"/>
  <c r="D73" i="2" s="1"/>
  <c r="D74" i="2" s="1"/>
  <c r="D75" i="2" s="1"/>
  <c r="D76" i="2" s="1"/>
  <c r="D77" i="2" s="1"/>
  <c r="D78" i="2" s="1"/>
  <c r="G68" i="2" s="1"/>
  <c r="G69" i="2" s="1"/>
  <c r="G70" i="2" s="1"/>
  <c r="G71" i="2" s="1"/>
  <c r="G72" i="2" s="1"/>
  <c r="G73" i="2" s="1"/>
  <c r="G74" i="2" s="1"/>
  <c r="G75" i="2" s="1"/>
  <c r="G76" i="2" s="1"/>
  <c r="G77" i="2" s="1"/>
  <c r="G78" i="2" s="1"/>
  <c r="J68" i="2" s="1"/>
  <c r="J69" i="2" s="1"/>
  <c r="J70" i="2" s="1"/>
  <c r="J71" i="2" s="1"/>
  <c r="J72" i="2" s="1"/>
  <c r="J73" i="2" s="1"/>
  <c r="J74" i="2" s="1"/>
  <c r="J75" i="2" s="1"/>
  <c r="J76" i="2" s="1"/>
  <c r="J77" i="2" s="1"/>
  <c r="J78" i="2" s="1"/>
  <c r="M68" i="2" s="1"/>
  <c r="M69" i="2" s="1"/>
  <c r="M70" i="2" s="1"/>
  <c r="M71" i="2" s="1"/>
  <c r="M72" i="2" s="1"/>
  <c r="M73" i="2" s="1"/>
  <c r="M74" i="2" s="1"/>
  <c r="M75" i="2" s="1"/>
  <c r="M76" i="2" s="1"/>
  <c r="M77" i="2" s="1"/>
  <c r="M78" i="2" s="1"/>
  <c r="P68" i="2" s="1"/>
  <c r="P69" i="2" s="1"/>
  <c r="P70" i="2" s="1"/>
  <c r="P71" i="2" s="1"/>
  <c r="P72" i="2" s="1"/>
  <c r="P73" i="2" s="1"/>
  <c r="P74" i="2" s="1"/>
  <c r="P75" i="2" s="1"/>
  <c r="P76" i="2" s="1"/>
  <c r="P77" i="2" s="1"/>
  <c r="P78" i="2" s="1"/>
  <c r="S68" i="2" s="1"/>
  <c r="S69" i="2" s="1"/>
  <c r="S70" i="2" s="1"/>
  <c r="S71" i="2" s="1"/>
  <c r="S72" i="2" s="1"/>
  <c r="S73" i="2" s="1"/>
  <c r="S74" i="2" s="1"/>
  <c r="S75" i="2" s="1"/>
  <c r="S76" i="2" s="1"/>
  <c r="S77" i="2" s="1"/>
  <c r="S78" i="2" s="1"/>
  <c r="V68" i="2" s="1"/>
  <c r="V69" i="2" s="1"/>
  <c r="V70" i="2" s="1"/>
  <c r="V71" i="2" s="1"/>
  <c r="V72" i="2" s="1"/>
  <c r="V73" i="2" s="1"/>
  <c r="V74" i="2" s="1"/>
  <c r="V75" i="2" s="1"/>
  <c r="V76" i="2" s="1"/>
  <c r="V77" i="2" s="1"/>
  <c r="V78" i="2" s="1"/>
  <c r="D80" i="2" s="1"/>
  <c r="D81" i="2" s="1"/>
  <c r="D82" i="2" s="1"/>
  <c r="D83" i="2" s="1"/>
  <c r="D84" i="2" s="1"/>
  <c r="D85" i="2" s="1"/>
  <c r="D86" i="2" s="1"/>
  <c r="D87" i="2" s="1"/>
  <c r="D88" i="2" s="1"/>
  <c r="D89" i="2" s="1"/>
  <c r="D90" i="2" s="1"/>
  <c r="G80" i="2" s="1"/>
  <c r="G81" i="2" s="1"/>
  <c r="G82" i="2" s="1"/>
  <c r="G83" i="2" s="1"/>
  <c r="G84" i="2" s="1"/>
  <c r="G85" i="2" s="1"/>
  <c r="G86" i="2" s="1"/>
  <c r="G87" i="2" s="1"/>
  <c r="G88" i="2" s="1"/>
  <c r="G89" i="2" s="1"/>
  <c r="G90" i="2" s="1"/>
  <c r="J80" i="2" s="1"/>
  <c r="J81" i="2" s="1"/>
  <c r="J82" i="2" s="1"/>
  <c r="J83" i="2" s="1"/>
  <c r="J84" i="2" s="1"/>
  <c r="J85" i="2" s="1"/>
  <c r="J86" i="2" s="1"/>
  <c r="J87" i="2" s="1"/>
  <c r="J88" i="2" s="1"/>
  <c r="J89" i="2" s="1"/>
  <c r="J90" i="2" s="1"/>
  <c r="M80" i="2" s="1"/>
  <c r="M81" i="2" s="1"/>
  <c r="M82" i="2" s="1"/>
  <c r="M83" i="2" s="1"/>
  <c r="M84" i="2" s="1"/>
  <c r="M85" i="2" s="1"/>
  <c r="M86" i="2" s="1"/>
  <c r="M87" i="2" s="1"/>
  <c r="M88" i="2" s="1"/>
  <c r="M89" i="2" s="1"/>
  <c r="M90" i="2" s="1"/>
  <c r="P80" i="2" s="1"/>
  <c r="P81" i="2" s="1"/>
  <c r="P82" i="2" s="1"/>
  <c r="P83" i="2" s="1"/>
  <c r="P84" i="2" s="1"/>
  <c r="P85" i="2" s="1"/>
  <c r="P86" i="2" s="1"/>
  <c r="P87" i="2" s="1"/>
  <c r="P88" i="2" s="1"/>
  <c r="P89" i="2" s="1"/>
  <c r="P90" i="2" s="1"/>
  <c r="S80" i="2" s="1"/>
  <c r="S81" i="2" s="1"/>
  <c r="S82" i="2" s="1"/>
  <c r="S83" i="2" s="1"/>
  <c r="S84" i="2" s="1"/>
  <c r="S85" i="2" s="1"/>
  <c r="S86" i="2" s="1"/>
  <c r="S87" i="2" s="1"/>
  <c r="S88" i="2" s="1"/>
  <c r="S89" i="2" s="1"/>
  <c r="S90" i="2" s="1"/>
  <c r="V80" i="2" s="1"/>
  <c r="V81" i="2" s="1"/>
  <c r="V82" i="2" s="1"/>
  <c r="V83" i="2" s="1"/>
  <c r="V84" i="2" s="1"/>
  <c r="V85" i="2" s="1"/>
  <c r="V86" i="2" s="1"/>
  <c r="V87" i="2" s="1"/>
  <c r="V88" i="2" s="1"/>
  <c r="V89" i="2" s="1"/>
  <c r="V90" i="2" s="1"/>
  <c r="D92" i="2" s="1"/>
  <c r="D93" i="2" s="1"/>
  <c r="D94" i="2" s="1"/>
  <c r="D95" i="2" s="1"/>
  <c r="D96" i="2" s="1"/>
  <c r="D97" i="2" s="1"/>
  <c r="D98" i="2" s="1"/>
  <c r="D99" i="2" s="1"/>
  <c r="D100" i="2" s="1"/>
  <c r="D101" i="2" s="1"/>
  <c r="D102" i="2" s="1"/>
  <c r="G92" i="2" s="1"/>
  <c r="G93" i="2" s="1"/>
  <c r="G94" i="2" s="1"/>
  <c r="G95" i="2" s="1"/>
  <c r="G96" i="2" s="1"/>
  <c r="G97" i="2" s="1"/>
  <c r="G98" i="2" s="1"/>
  <c r="G99" i="2" s="1"/>
  <c r="G100" i="2" s="1"/>
  <c r="G101" i="2" s="1"/>
  <c r="G102" i="2" s="1"/>
  <c r="J92" i="2" s="1"/>
  <c r="J93" i="2" s="1"/>
  <c r="J94" i="2" s="1"/>
  <c r="J95" i="2" s="1"/>
  <c r="J96" i="2" s="1"/>
  <c r="J97" i="2" s="1"/>
  <c r="J98" i="2" s="1"/>
  <c r="J99" i="2" s="1"/>
  <c r="J100" i="2" s="1"/>
  <c r="J101" i="2" s="1"/>
  <c r="J102" i="2" s="1"/>
  <c r="M92" i="2" s="1"/>
  <c r="M93" i="2" s="1"/>
  <c r="M94" i="2" s="1"/>
  <c r="M95" i="2" s="1"/>
  <c r="M96" i="2" s="1"/>
  <c r="M97" i="2" s="1"/>
  <c r="M98" i="2" s="1"/>
  <c r="M99" i="2" s="1"/>
  <c r="M100" i="2" s="1"/>
  <c r="M101" i="2" s="1"/>
  <c r="M102" i="2" s="1"/>
  <c r="P92" i="2" s="1"/>
  <c r="P93" i="2" s="1"/>
  <c r="P94" i="2" s="1"/>
  <c r="P95" i="2" s="1"/>
  <c r="P96" i="2" s="1"/>
  <c r="P97" i="2" s="1"/>
  <c r="P98" i="2" s="1"/>
  <c r="P99" i="2" s="1"/>
  <c r="P100" i="2" s="1"/>
  <c r="P101" i="2" s="1"/>
  <c r="P102" i="2" s="1"/>
  <c r="S92" i="2" s="1"/>
  <c r="S93" i="2" s="1"/>
  <c r="S94" i="2" s="1"/>
  <c r="S95" i="2" s="1"/>
  <c r="S96" i="2" s="1"/>
  <c r="S97" i="2" s="1"/>
  <c r="S98" i="2" s="1"/>
  <c r="S99" i="2" s="1"/>
  <c r="S100" i="2" s="1"/>
  <c r="S101" i="2" s="1"/>
  <c r="S102" i="2" s="1"/>
  <c r="V92" i="2" s="1"/>
  <c r="V93" i="2" s="1"/>
  <c r="V94" i="2" s="1"/>
  <c r="V95" i="2" s="1"/>
  <c r="V96" i="2" s="1"/>
  <c r="V97" i="2" s="1"/>
  <c r="V98" i="2" s="1"/>
  <c r="V99" i="2" s="1"/>
  <c r="V100" i="2" s="1"/>
  <c r="V101" i="2" s="1"/>
  <c r="V102" i="2" s="1"/>
  <c r="D104" i="2" s="1"/>
  <c r="D105" i="2" s="1"/>
  <c r="D106" i="2" s="1"/>
  <c r="D107" i="2" s="1"/>
  <c r="D108" i="2" s="1"/>
  <c r="D109" i="2" s="1"/>
  <c r="D110" i="2" s="1"/>
  <c r="D111" i="2" s="1"/>
  <c r="D112" i="2" s="1"/>
  <c r="D113" i="2" s="1"/>
  <c r="D114" i="2" s="1"/>
  <c r="G104" i="2" s="1"/>
  <c r="G105" i="2" s="1"/>
  <c r="G106" i="2" s="1"/>
  <c r="G107" i="2" s="1"/>
  <c r="G108" i="2" s="1"/>
  <c r="G109" i="2" s="1"/>
  <c r="G110" i="2" s="1"/>
  <c r="G111" i="2" s="1"/>
  <c r="G112" i="2" s="1"/>
  <c r="G113" i="2" s="1"/>
  <c r="G114" i="2" s="1"/>
  <c r="J104" i="2" s="1"/>
  <c r="J105" i="2" s="1"/>
  <c r="J106" i="2" s="1"/>
  <c r="J107" i="2" s="1"/>
  <c r="J108" i="2" s="1"/>
  <c r="J109" i="2" s="1"/>
  <c r="J110" i="2" s="1"/>
  <c r="J111" i="2" s="1"/>
  <c r="J112" i="2" s="1"/>
  <c r="J113" i="2" s="1"/>
  <c r="J114" i="2" s="1"/>
  <c r="M104" i="2" s="1"/>
  <c r="M105" i="2" s="1"/>
  <c r="M106" i="2" s="1"/>
  <c r="M107" i="2" s="1"/>
  <c r="M108" i="2" s="1"/>
  <c r="M109" i="2" s="1"/>
  <c r="M110" i="2" s="1"/>
  <c r="M111" i="2" s="1"/>
  <c r="M112" i="2" s="1"/>
  <c r="M113" i="2" s="1"/>
  <c r="M114" i="2" s="1"/>
  <c r="P104" i="2" s="1"/>
  <c r="P105" i="2" s="1"/>
  <c r="P106" i="2" s="1"/>
  <c r="P107" i="2" s="1"/>
  <c r="P108" i="2" s="1"/>
  <c r="P109" i="2" s="1"/>
  <c r="P110" i="2" s="1"/>
  <c r="P111" i="2" s="1"/>
  <c r="P112" i="2" s="1"/>
  <c r="P113" i="2" s="1"/>
  <c r="P114" i="2" s="1"/>
  <c r="S104" i="2" s="1"/>
  <c r="S105" i="2" s="1"/>
  <c r="S106" i="2" s="1"/>
  <c r="S107" i="2" s="1"/>
  <c r="S108" i="2" s="1"/>
  <c r="S109" i="2" s="1"/>
  <c r="S110" i="2" s="1"/>
  <c r="S111" i="2" s="1"/>
  <c r="S112" i="2" s="1"/>
  <c r="S113" i="2" s="1"/>
  <c r="S114" i="2" s="1"/>
  <c r="V104" i="2" s="1"/>
  <c r="V105" i="2" s="1"/>
  <c r="V106" i="2" s="1"/>
  <c r="V107" i="2" s="1"/>
  <c r="V108" i="2" s="1"/>
  <c r="V109" i="2" s="1"/>
  <c r="V110" i="2" s="1"/>
  <c r="V111" i="2" s="1"/>
  <c r="V112" i="2" s="1"/>
  <c r="V113" i="2" s="1"/>
  <c r="V114" i="2" s="1"/>
  <c r="D116" i="2" s="1"/>
  <c r="D117" i="2" s="1"/>
  <c r="D118" i="2" s="1"/>
  <c r="D119" i="2" s="1"/>
  <c r="D120" i="2" s="1"/>
  <c r="D121" i="2" s="1"/>
  <c r="D122" i="2" s="1"/>
  <c r="D123" i="2" s="1"/>
  <c r="D124" i="2" s="1"/>
  <c r="D125" i="2" s="1"/>
  <c r="D126" i="2" s="1"/>
  <c r="G116" i="2" s="1"/>
  <c r="G117" i="2" s="1"/>
  <c r="G118" i="2" s="1"/>
  <c r="G119" i="2" s="1"/>
  <c r="G120" i="2" s="1"/>
  <c r="G121" i="2" s="1"/>
  <c r="G122" i="2" s="1"/>
  <c r="G123" i="2" s="1"/>
  <c r="G124" i="2" s="1"/>
  <c r="G125" i="2" s="1"/>
  <c r="G126" i="2" s="1"/>
  <c r="J116" i="2" s="1"/>
  <c r="J117" i="2" s="1"/>
  <c r="J118" i="2" s="1"/>
  <c r="J119" i="2" s="1"/>
  <c r="J120" i="2" s="1"/>
  <c r="J121" i="2" s="1"/>
  <c r="J122" i="2" s="1"/>
  <c r="J123" i="2" s="1"/>
  <c r="J124" i="2" s="1"/>
  <c r="J125" i="2" s="1"/>
  <c r="J126" i="2" s="1"/>
  <c r="M116" i="2" s="1"/>
  <c r="M117" i="2" s="1"/>
  <c r="M118" i="2" s="1"/>
  <c r="M119" i="2" s="1"/>
  <c r="M120" i="2" s="1"/>
  <c r="M121" i="2" s="1"/>
  <c r="M122" i="2" s="1"/>
  <c r="M123" i="2" s="1"/>
  <c r="M124" i="2" s="1"/>
  <c r="M125" i="2" s="1"/>
  <c r="M126" i="2" s="1"/>
  <c r="P116" i="2" s="1"/>
  <c r="P117" i="2" s="1"/>
  <c r="P118" i="2" s="1"/>
  <c r="P119" i="2" s="1"/>
  <c r="P120" i="2" s="1"/>
  <c r="P121" i="2" s="1"/>
  <c r="P122" i="2" s="1"/>
  <c r="P123" i="2" s="1"/>
  <c r="P124" i="2" s="1"/>
  <c r="P125" i="2" s="1"/>
  <c r="P126" i="2" s="1"/>
  <c r="S116" i="2" s="1"/>
  <c r="S117" i="2" s="1"/>
  <c r="S118" i="2" s="1"/>
  <c r="S119" i="2" s="1"/>
  <c r="S120" i="2" s="1"/>
  <c r="S121" i="2" s="1"/>
  <c r="S122" i="2" s="1"/>
  <c r="S123" i="2" s="1"/>
  <c r="S124" i="2" s="1"/>
  <c r="S125" i="2" s="1"/>
  <c r="S126" i="2" s="1"/>
  <c r="V116" i="2" s="1"/>
  <c r="V117" i="2" s="1"/>
  <c r="V118" i="2" s="1"/>
  <c r="V119" i="2" s="1"/>
  <c r="V120" i="2" s="1"/>
  <c r="V121" i="2" s="1"/>
  <c r="V122" i="2" s="1"/>
  <c r="V123" i="2" s="1"/>
  <c r="V124" i="2" s="1"/>
  <c r="V125" i="2" s="1"/>
  <c r="V126" i="2" s="1"/>
  <c r="D128" i="2" s="1"/>
  <c r="D129" i="2" s="1"/>
  <c r="D130" i="2" s="1"/>
  <c r="D131" i="2" s="1"/>
  <c r="D132" i="2" s="1"/>
  <c r="D133" i="2" s="1"/>
  <c r="D134" i="2" s="1"/>
  <c r="D135" i="2" s="1"/>
  <c r="D136" i="2" s="1"/>
  <c r="D137" i="2" s="1"/>
  <c r="D138" i="2" s="1"/>
  <c r="G128" i="2" s="1"/>
  <c r="G129" i="2" s="1"/>
  <c r="G130" i="2" s="1"/>
  <c r="G131" i="2" s="1"/>
  <c r="G132" i="2" s="1"/>
  <c r="G133" i="2" s="1"/>
  <c r="G134" i="2" s="1"/>
  <c r="G135" i="2" s="1"/>
  <c r="G136" i="2" s="1"/>
  <c r="G137" i="2" s="1"/>
  <c r="G138" i="2" s="1"/>
  <c r="J128" i="2" s="1"/>
  <c r="J129" i="2" s="1"/>
  <c r="J130" i="2" s="1"/>
  <c r="J131" i="2" s="1"/>
  <c r="J132" i="2" s="1"/>
  <c r="J133" i="2" s="1"/>
  <c r="J134" i="2" s="1"/>
  <c r="J135" i="2" s="1"/>
  <c r="J136" i="2" s="1"/>
  <c r="J137" i="2" s="1"/>
  <c r="J138" i="2" s="1"/>
  <c r="M128" i="2" s="1"/>
  <c r="M129" i="2" s="1"/>
  <c r="M130" i="2" s="1"/>
  <c r="M131" i="2" s="1"/>
  <c r="M132" i="2" s="1"/>
  <c r="M133" i="2" s="1"/>
  <c r="M134" i="2" s="1"/>
  <c r="M135" i="2" s="1"/>
  <c r="M136" i="2" s="1"/>
  <c r="M137" i="2" s="1"/>
  <c r="M138" i="2" s="1"/>
  <c r="P128" i="2" s="1"/>
  <c r="P129" i="2" s="1"/>
  <c r="P130" i="2" s="1"/>
  <c r="P131" i="2" s="1"/>
  <c r="P132" i="2" s="1"/>
  <c r="P133" i="2" s="1"/>
  <c r="P134" i="2" s="1"/>
  <c r="P135" i="2" s="1"/>
  <c r="P136" i="2" s="1"/>
  <c r="P137" i="2" s="1"/>
  <c r="P138" i="2" s="1"/>
  <c r="S128" i="2" s="1"/>
  <c r="S129" i="2" s="1"/>
  <c r="S130" i="2" s="1"/>
  <c r="S131" i="2" s="1"/>
  <c r="S132" i="2" s="1"/>
  <c r="S133" i="2" s="1"/>
  <c r="S134" i="2" s="1"/>
  <c r="S135" i="2" s="1"/>
  <c r="S136" i="2" s="1"/>
  <c r="S137" i="2" s="1"/>
  <c r="S138" i="2" s="1"/>
  <c r="V128" i="2" s="1"/>
  <c r="V129" i="2" s="1"/>
  <c r="V130" i="2" s="1"/>
  <c r="V131" i="2" s="1"/>
  <c r="V132" i="2" s="1"/>
  <c r="V133" i="2" s="1"/>
  <c r="V134" i="2" s="1"/>
  <c r="V135" i="2" s="1"/>
  <c r="V136" i="2" s="1"/>
  <c r="V137" i="2" s="1"/>
  <c r="V138" i="2" s="1"/>
  <c r="D140" i="2" s="1"/>
  <c r="D141" i="2" s="1"/>
  <c r="D142" i="2" s="1"/>
  <c r="D143" i="2" s="1"/>
  <c r="D144" i="2" s="1"/>
  <c r="D145" i="2" s="1"/>
  <c r="D146" i="2" s="1"/>
  <c r="D147" i="2" s="1"/>
  <c r="D148" i="2" s="1"/>
  <c r="D149" i="2" s="1"/>
  <c r="D150" i="2" s="1"/>
  <c r="G140" i="2" s="1"/>
  <c r="G141" i="2" s="1"/>
  <c r="G142" i="2" s="1"/>
  <c r="G143" i="2" s="1"/>
  <c r="G144" i="2" s="1"/>
  <c r="G145" i="2" s="1"/>
  <c r="G146" i="2" s="1"/>
  <c r="G147" i="2" s="1"/>
  <c r="G148" i="2" s="1"/>
  <c r="G149" i="2" s="1"/>
  <c r="G150" i="2" s="1"/>
  <c r="J140" i="2" s="1"/>
  <c r="J141" i="2" s="1"/>
  <c r="J142" i="2" s="1"/>
  <c r="J143" i="2" s="1"/>
  <c r="J144" i="2" s="1"/>
  <c r="J145" i="2" s="1"/>
  <c r="J146" i="2" s="1"/>
  <c r="J147" i="2" s="1"/>
  <c r="J148" i="2" s="1"/>
  <c r="J149" i="2" s="1"/>
  <c r="J150" i="2" s="1"/>
  <c r="M140" i="2" s="1"/>
  <c r="M141" i="2" s="1"/>
  <c r="M142" i="2" s="1"/>
  <c r="M143" i="2" s="1"/>
  <c r="M144" i="2" s="1"/>
  <c r="M145" i="2" s="1"/>
  <c r="M146" i="2" s="1"/>
  <c r="M147" i="2" s="1"/>
  <c r="M148" i="2" s="1"/>
  <c r="M149" i="2" s="1"/>
  <c r="M150" i="2" s="1"/>
  <c r="P140" i="2" s="1"/>
  <c r="P141" i="2" s="1"/>
  <c r="P142" i="2" s="1"/>
  <c r="P143" i="2" s="1"/>
  <c r="P144" i="2" s="1"/>
  <c r="P145" i="2" s="1"/>
  <c r="P146" i="2" s="1"/>
  <c r="P147" i="2" s="1"/>
  <c r="P148" i="2" s="1"/>
  <c r="P149" i="2" s="1"/>
  <c r="P150" i="2" s="1"/>
  <c r="S140" i="2" s="1"/>
  <c r="S141" i="2" s="1"/>
  <c r="S142" i="2" s="1"/>
  <c r="S143" i="2" s="1"/>
  <c r="S144" i="2" s="1"/>
  <c r="S145" i="2" s="1"/>
  <c r="S146" i="2" s="1"/>
  <c r="S147" i="2" s="1"/>
  <c r="S148" i="2" s="1"/>
  <c r="S149" i="2" s="1"/>
  <c r="S150" i="2" s="1"/>
  <c r="V140" i="2" s="1"/>
  <c r="V141" i="2" s="1"/>
  <c r="V142" i="2" s="1"/>
  <c r="V143" i="2" s="1"/>
  <c r="V144" i="2" s="1"/>
  <c r="V145" i="2" s="1"/>
  <c r="V146" i="2" s="1"/>
  <c r="V147" i="2" s="1"/>
  <c r="V148" i="2" s="1"/>
  <c r="V149" i="2" s="1"/>
  <c r="V150" i="2" s="1"/>
  <c r="D152" i="2" s="1"/>
  <c r="D153" i="2" s="1"/>
  <c r="D154" i="2" s="1"/>
  <c r="D155" i="2" s="1"/>
  <c r="D156" i="2" s="1"/>
  <c r="D157" i="2" s="1"/>
  <c r="D158" i="2" s="1"/>
  <c r="D159" i="2" s="1"/>
  <c r="D160" i="2" s="1"/>
  <c r="D161" i="2" s="1"/>
  <c r="D162" i="2" s="1"/>
  <c r="G152" i="2" s="1"/>
  <c r="G153" i="2" s="1"/>
  <c r="G154" i="2" s="1"/>
  <c r="G155" i="2" s="1"/>
  <c r="G156" i="2" s="1"/>
  <c r="G157" i="2" s="1"/>
  <c r="G158" i="2" s="1"/>
  <c r="G159" i="2" s="1"/>
  <c r="G160" i="2" s="1"/>
  <c r="G161" i="2" s="1"/>
  <c r="G162" i="2" s="1"/>
  <c r="J152" i="2" s="1"/>
  <c r="J153" i="2" s="1"/>
  <c r="J154" i="2" s="1"/>
  <c r="J155" i="2" s="1"/>
  <c r="J156" i="2" s="1"/>
  <c r="J157" i="2" s="1"/>
  <c r="J158" i="2" s="1"/>
  <c r="J159" i="2" s="1"/>
  <c r="J160" i="2" s="1"/>
  <c r="J161" i="2" s="1"/>
  <c r="J162" i="2" s="1"/>
  <c r="M152" i="2" s="1"/>
  <c r="M153" i="2" s="1"/>
  <c r="M154" i="2" s="1"/>
  <c r="M155" i="2" s="1"/>
  <c r="M156" i="2" s="1"/>
  <c r="M157" i="2" s="1"/>
  <c r="M158" i="2" s="1"/>
  <c r="M159" i="2" s="1"/>
  <c r="M160" i="2" s="1"/>
  <c r="M161" i="2" s="1"/>
  <c r="M162" i="2" s="1"/>
  <c r="P152" i="2" s="1"/>
  <c r="P153" i="2" s="1"/>
  <c r="P154" i="2" s="1"/>
  <c r="P155" i="2" s="1"/>
  <c r="P156" i="2" s="1"/>
  <c r="P157" i="2" s="1"/>
  <c r="P158" i="2" s="1"/>
  <c r="P159" i="2" s="1"/>
  <c r="P160" i="2" s="1"/>
  <c r="P161" i="2" s="1"/>
  <c r="P162" i="2" s="1"/>
  <c r="S152" i="2" s="1"/>
  <c r="S153" i="2" s="1"/>
  <c r="S154" i="2" s="1"/>
  <c r="S155" i="2" s="1"/>
  <c r="S156" i="2" s="1"/>
  <c r="S157" i="2" s="1"/>
  <c r="S158" i="2" s="1"/>
  <c r="S159" i="2" s="1"/>
  <c r="S160" i="2" s="1"/>
  <c r="S161" i="2" s="1"/>
  <c r="S162" i="2" s="1"/>
  <c r="V152" i="2" s="1"/>
  <c r="V153" i="2" s="1"/>
  <c r="V154" i="2" s="1"/>
  <c r="V155" i="2" s="1"/>
  <c r="V156" i="2" s="1"/>
  <c r="V157" i="2" s="1"/>
  <c r="V158" i="2" s="1"/>
  <c r="V159" i="2" s="1"/>
  <c r="V160" i="2" s="1"/>
  <c r="V161" i="2" s="1"/>
  <c r="V162" i="2" s="1"/>
  <c r="D164" i="2" s="1"/>
  <c r="D165" i="2" s="1"/>
  <c r="D166" i="2" s="1"/>
  <c r="D167" i="2" s="1"/>
  <c r="D168" i="2" s="1"/>
  <c r="D169" i="2" s="1"/>
  <c r="D170" i="2" s="1"/>
  <c r="D171" i="2" s="1"/>
  <c r="D172" i="2" s="1"/>
  <c r="D173" i="2" s="1"/>
  <c r="D174" i="2" s="1"/>
  <c r="G164" i="2" s="1"/>
  <c r="G165" i="2" s="1"/>
  <c r="G166" i="2" s="1"/>
  <c r="G167" i="2" s="1"/>
  <c r="G168" i="2" s="1"/>
  <c r="G169" i="2" s="1"/>
  <c r="G170" i="2" s="1"/>
  <c r="G171" i="2" s="1"/>
  <c r="G172" i="2" s="1"/>
  <c r="G173" i="2" s="1"/>
  <c r="G174" i="2" s="1"/>
  <c r="J164" i="2" s="1"/>
  <c r="J165" i="2" s="1"/>
  <c r="J166" i="2" s="1"/>
  <c r="J167" i="2" s="1"/>
  <c r="J168" i="2" s="1"/>
  <c r="J169" i="2" s="1"/>
  <c r="J170" i="2" s="1"/>
  <c r="J171" i="2" s="1"/>
  <c r="J172" i="2" s="1"/>
  <c r="J173" i="2" s="1"/>
  <c r="J174" i="2" s="1"/>
  <c r="M164" i="2" s="1"/>
  <c r="M165" i="2" s="1"/>
  <c r="M166" i="2" s="1"/>
  <c r="M167" i="2" s="1"/>
  <c r="M168" i="2" s="1"/>
  <c r="M169" i="2" s="1"/>
  <c r="M170" i="2" s="1"/>
  <c r="M171" i="2" s="1"/>
  <c r="M172" i="2" s="1"/>
  <c r="M173" i="2" s="1"/>
  <c r="M174" i="2" s="1"/>
  <c r="P164" i="2" s="1"/>
  <c r="P165" i="2" s="1"/>
  <c r="P166" i="2" s="1"/>
  <c r="P167" i="2" s="1"/>
  <c r="P168" i="2" s="1"/>
  <c r="P169" i="2" s="1"/>
  <c r="P170" i="2" s="1"/>
  <c r="P171" i="2" s="1"/>
  <c r="P172" i="2" s="1"/>
  <c r="P173" i="2" s="1"/>
  <c r="P174" i="2" s="1"/>
  <c r="S164" i="2" s="1"/>
  <c r="S165" i="2" s="1"/>
  <c r="S166" i="2" s="1"/>
  <c r="S167" i="2" s="1"/>
  <c r="S168" i="2" s="1"/>
  <c r="S169" i="2" s="1"/>
  <c r="S170" i="2" s="1"/>
  <c r="S171" i="2" s="1"/>
  <c r="S172" i="2" s="1"/>
  <c r="S173" i="2" s="1"/>
  <c r="S174" i="2" s="1"/>
  <c r="V164" i="2" s="1"/>
  <c r="V165" i="2" s="1"/>
  <c r="V166" i="2" s="1"/>
  <c r="V167" i="2" s="1"/>
  <c r="V168" i="2" s="1"/>
  <c r="V169" i="2" s="1"/>
  <c r="V170" i="2" s="1"/>
  <c r="V171" i="2" s="1"/>
  <c r="V172" i="2" s="1"/>
  <c r="V173" i="2" s="1"/>
  <c r="V174" i="2" s="1"/>
  <c r="D176" i="2" s="1"/>
  <c r="D177" i="2" s="1"/>
  <c r="D178" i="2" s="1"/>
  <c r="D179" i="2" s="1"/>
  <c r="D180" i="2" s="1"/>
  <c r="D181" i="2" s="1"/>
  <c r="D182" i="2" s="1"/>
  <c r="D183" i="2" s="1"/>
  <c r="D184" i="2" s="1"/>
  <c r="D185" i="2" s="1"/>
  <c r="D186" i="2" s="1"/>
  <c r="G176" i="2" s="1"/>
  <c r="G177" i="2" s="1"/>
  <c r="G178" i="2" s="1"/>
  <c r="G179" i="2" s="1"/>
  <c r="G180" i="2" s="1"/>
  <c r="G181" i="2" s="1"/>
  <c r="G182" i="2" s="1"/>
  <c r="G183" i="2" s="1"/>
  <c r="G184" i="2" s="1"/>
  <c r="G185" i="2" s="1"/>
  <c r="G186" i="2" s="1"/>
  <c r="J176" i="2" s="1"/>
  <c r="J177" i="2" s="1"/>
  <c r="J178" i="2" s="1"/>
  <c r="J179" i="2" s="1"/>
  <c r="J180" i="2" s="1"/>
  <c r="J181" i="2" s="1"/>
  <c r="J182" i="2" s="1"/>
  <c r="J183" i="2" s="1"/>
  <c r="J184" i="2" s="1"/>
  <c r="J185" i="2" s="1"/>
  <c r="J186" i="2" s="1"/>
  <c r="M176" i="2" s="1"/>
  <c r="M177" i="2" s="1"/>
  <c r="M178" i="2" s="1"/>
  <c r="M179" i="2" s="1"/>
  <c r="M180" i="2" s="1"/>
  <c r="M181" i="2" s="1"/>
  <c r="M182" i="2" s="1"/>
  <c r="M183" i="2" s="1"/>
  <c r="M184" i="2" s="1"/>
  <c r="M185" i="2" s="1"/>
  <c r="M186" i="2" s="1"/>
  <c r="P176" i="2" s="1"/>
  <c r="P177" i="2" s="1"/>
  <c r="P178" i="2" s="1"/>
  <c r="P179" i="2" s="1"/>
  <c r="P180" i="2" s="1"/>
  <c r="P181" i="2" s="1"/>
  <c r="P182" i="2" s="1"/>
  <c r="P183" i="2" s="1"/>
  <c r="P184" i="2" s="1"/>
  <c r="P185" i="2" s="1"/>
  <c r="P186" i="2" s="1"/>
  <c r="S176" i="2" s="1"/>
  <c r="S177" i="2" s="1"/>
  <c r="S178" i="2" s="1"/>
  <c r="S179" i="2" s="1"/>
  <c r="S180" i="2" s="1"/>
  <c r="S181" i="2" s="1"/>
  <c r="S182" i="2" s="1"/>
  <c r="S183" i="2" s="1"/>
  <c r="S184" i="2" s="1"/>
  <c r="S185" i="2" s="1"/>
  <c r="S186" i="2" s="1"/>
  <c r="V176" i="2" s="1"/>
  <c r="V177" i="2" s="1"/>
  <c r="V178" i="2" s="1"/>
  <c r="V179" i="2" s="1"/>
  <c r="V180" i="2" s="1"/>
  <c r="V181" i="2" s="1"/>
  <c r="V182" i="2" s="1"/>
  <c r="V183" i="2" s="1"/>
  <c r="V184" i="2" s="1"/>
  <c r="V185" i="2" s="1"/>
  <c r="V186" i="2" s="1"/>
  <c r="D188" i="2" s="1"/>
  <c r="D189" i="2" s="1"/>
  <c r="D190" i="2" s="1"/>
  <c r="D191" i="2" s="1"/>
  <c r="D192" i="2" s="1"/>
  <c r="D193" i="2" s="1"/>
  <c r="D194" i="2" s="1"/>
  <c r="D195" i="2" s="1"/>
  <c r="D196" i="2" s="1"/>
  <c r="D197" i="2" s="1"/>
  <c r="D198" i="2" s="1"/>
  <c r="G188" i="2" s="1"/>
  <c r="G189" i="2" s="1"/>
  <c r="G190" i="2" s="1"/>
  <c r="G191" i="2" s="1"/>
  <c r="G192" i="2" s="1"/>
  <c r="G193" i="2" s="1"/>
  <c r="G194" i="2" s="1"/>
  <c r="G195" i="2" s="1"/>
  <c r="G196" i="2" s="1"/>
  <c r="G197" i="2" s="1"/>
  <c r="G198" i="2" s="1"/>
  <c r="J188" i="2" s="1"/>
  <c r="J189" i="2" s="1"/>
  <c r="J190" i="2" s="1"/>
  <c r="J191" i="2" s="1"/>
  <c r="J192" i="2" s="1"/>
  <c r="J193" i="2" s="1"/>
  <c r="J194" i="2" s="1"/>
  <c r="J195" i="2" s="1"/>
  <c r="J196" i="2" s="1"/>
  <c r="J197" i="2" s="1"/>
  <c r="J198" i="2" s="1"/>
  <c r="M188" i="2" s="1"/>
  <c r="M189" i="2" s="1"/>
  <c r="M190" i="2" s="1"/>
  <c r="M191" i="2" s="1"/>
  <c r="M192" i="2" s="1"/>
  <c r="M193" i="2" s="1"/>
  <c r="M194" i="2" s="1"/>
  <c r="M195" i="2" s="1"/>
  <c r="M196" i="2" s="1"/>
  <c r="M197" i="2" s="1"/>
  <c r="M198" i="2" s="1"/>
  <c r="P188" i="2" s="1"/>
  <c r="P189" i="2" s="1"/>
  <c r="P190" i="2" s="1"/>
  <c r="P191" i="2" s="1"/>
  <c r="P192" i="2" s="1"/>
  <c r="P193" i="2" s="1"/>
  <c r="P194" i="2" s="1"/>
  <c r="P195" i="2" s="1"/>
  <c r="P196" i="2" s="1"/>
  <c r="P197" i="2" s="1"/>
  <c r="P198" i="2" s="1"/>
  <c r="S188" i="2" s="1"/>
  <c r="S189" i="2" s="1"/>
  <c r="S190" i="2" s="1"/>
  <c r="S191" i="2" s="1"/>
  <c r="S192" i="2" s="1"/>
  <c r="S193" i="2" s="1"/>
  <c r="S194" i="2" s="1"/>
  <c r="S195" i="2" s="1"/>
  <c r="S196" i="2" s="1"/>
  <c r="S197" i="2" s="1"/>
  <c r="S198" i="2" s="1"/>
  <c r="V188" i="2" s="1"/>
  <c r="V189" i="2" s="1"/>
  <c r="V190" i="2" s="1"/>
  <c r="V191" i="2" s="1"/>
  <c r="V192" i="2" s="1"/>
  <c r="V193" i="2" s="1"/>
  <c r="V194" i="2" s="1"/>
  <c r="V195" i="2" s="1"/>
  <c r="V196" i="2" s="1"/>
  <c r="V197" i="2" s="1"/>
  <c r="V198" i="2" s="1"/>
  <c r="D200" i="2" s="1"/>
  <c r="D201" i="2" s="1"/>
  <c r="D202" i="2" s="1"/>
  <c r="D203" i="2" s="1"/>
  <c r="D204" i="2" s="1"/>
  <c r="D205" i="2" s="1"/>
  <c r="D206" i="2" s="1"/>
  <c r="D207" i="2" s="1"/>
  <c r="D208" i="2" s="1"/>
  <c r="D209" i="2" s="1"/>
  <c r="D210" i="2" s="1"/>
  <c r="G200" i="2" s="1"/>
  <c r="G201" i="2" s="1"/>
  <c r="G202" i="2" s="1"/>
  <c r="G203" i="2" s="1"/>
  <c r="G204" i="2" s="1"/>
  <c r="G205" i="2" s="1"/>
  <c r="G206" i="2" s="1"/>
  <c r="G207" i="2" s="1"/>
  <c r="G208" i="2" s="1"/>
  <c r="G209" i="2" s="1"/>
  <c r="G210" i="2" s="1"/>
  <c r="J200" i="2" s="1"/>
  <c r="J201" i="2" s="1"/>
  <c r="J202" i="2" s="1"/>
  <c r="J203" i="2" s="1"/>
  <c r="J204" i="2" s="1"/>
  <c r="J205" i="2" s="1"/>
  <c r="J206" i="2" s="1"/>
  <c r="J207" i="2" s="1"/>
  <c r="J208" i="2" s="1"/>
  <c r="J209" i="2" s="1"/>
  <c r="J210" i="2" s="1"/>
  <c r="M200" i="2" s="1"/>
  <c r="M201" i="2" s="1"/>
  <c r="M202" i="2" s="1"/>
  <c r="M203" i="2" s="1"/>
  <c r="M204" i="2" s="1"/>
  <c r="M205" i="2" s="1"/>
  <c r="M206" i="2" s="1"/>
  <c r="M207" i="2" s="1"/>
  <c r="M208" i="2" s="1"/>
  <c r="M209" i="2" s="1"/>
  <c r="M210" i="2" s="1"/>
  <c r="P200" i="2" s="1"/>
  <c r="P201" i="2" s="1"/>
  <c r="P202" i="2" s="1"/>
  <c r="P203" i="2" s="1"/>
  <c r="P204" i="2" s="1"/>
  <c r="P205" i="2" s="1"/>
  <c r="P206" i="2" s="1"/>
  <c r="P207" i="2" s="1"/>
  <c r="P208" i="2" s="1"/>
  <c r="P209" i="2" s="1"/>
  <c r="P210" i="2" s="1"/>
  <c r="S200" i="2" s="1"/>
  <c r="S201" i="2" s="1"/>
  <c r="S202" i="2" s="1"/>
  <c r="S203" i="2" s="1"/>
  <c r="S204" i="2" s="1"/>
  <c r="S205" i="2" s="1"/>
  <c r="S206" i="2" s="1"/>
  <c r="S207" i="2" s="1"/>
  <c r="S208" i="2" s="1"/>
  <c r="S209" i="2" s="1"/>
  <c r="S210" i="2" s="1"/>
  <c r="V200" i="2" s="1"/>
  <c r="V201" i="2" s="1"/>
  <c r="V202" i="2" s="1"/>
  <c r="V203" i="2" s="1"/>
  <c r="V204" i="2" s="1"/>
  <c r="V205" i="2" s="1"/>
  <c r="V206" i="2" s="1"/>
  <c r="V207" i="2" s="1"/>
  <c r="V208" i="2" s="1"/>
  <c r="V209" i="2" s="1"/>
  <c r="V210" i="2" s="1"/>
  <c r="D212" i="2" s="1"/>
  <c r="D213" i="2" s="1"/>
  <c r="D214" i="2" s="1"/>
  <c r="D215" i="2" s="1"/>
  <c r="D216" i="2" s="1"/>
  <c r="D217" i="2" s="1"/>
  <c r="D218" i="2" s="1"/>
  <c r="D219" i="2" s="1"/>
  <c r="D220" i="2" s="1"/>
  <c r="D221" i="2" s="1"/>
  <c r="D222" i="2" s="1"/>
  <c r="G212" i="2" s="1"/>
  <c r="G213" i="2" s="1"/>
  <c r="G214" i="2" s="1"/>
  <c r="G215" i="2" s="1"/>
  <c r="G216" i="2" s="1"/>
  <c r="G217" i="2" s="1"/>
  <c r="G218" i="2" s="1"/>
  <c r="G219" i="2" s="1"/>
  <c r="G220" i="2" s="1"/>
  <c r="G221" i="2" s="1"/>
  <c r="G222" i="2" s="1"/>
  <c r="J212" i="2" s="1"/>
  <c r="J213" i="2" s="1"/>
  <c r="J214" i="2" s="1"/>
  <c r="J215" i="2" s="1"/>
  <c r="J216" i="2" s="1"/>
  <c r="J217" i="2" s="1"/>
  <c r="J218" i="2" s="1"/>
  <c r="J219" i="2" s="1"/>
  <c r="J220" i="2" s="1"/>
  <c r="J221" i="2" s="1"/>
  <c r="J222" i="2" s="1"/>
  <c r="M212" i="2" s="1"/>
  <c r="M213" i="2" s="1"/>
  <c r="M214" i="2" s="1"/>
  <c r="M215" i="2" s="1"/>
  <c r="M216" i="2" s="1"/>
  <c r="M217" i="2" s="1"/>
  <c r="M218" i="2" s="1"/>
  <c r="M219" i="2" s="1"/>
  <c r="M220" i="2" s="1"/>
  <c r="M221" i="2" s="1"/>
  <c r="M222" i="2" s="1"/>
  <c r="P212" i="2" s="1"/>
  <c r="P213" i="2" s="1"/>
  <c r="P214" i="2" s="1"/>
  <c r="P215" i="2" s="1"/>
  <c r="P216" i="2" s="1"/>
  <c r="P217" i="2" s="1"/>
  <c r="P218" i="2" s="1"/>
  <c r="P219" i="2" s="1"/>
  <c r="P220" i="2" s="1"/>
  <c r="P221" i="2" s="1"/>
  <c r="P222" i="2" s="1"/>
  <c r="S212" i="2" s="1"/>
  <c r="S213" i="2" s="1"/>
  <c r="S214" i="2" s="1"/>
  <c r="S215" i="2" s="1"/>
  <c r="S216" i="2" s="1"/>
  <c r="S217" i="2" s="1"/>
  <c r="S218" i="2" s="1"/>
  <c r="S219" i="2" s="1"/>
  <c r="S220" i="2" s="1"/>
  <c r="S221" i="2" s="1"/>
  <c r="S222" i="2" s="1"/>
  <c r="V212" i="2" s="1"/>
  <c r="V213" i="2" s="1"/>
  <c r="V214" i="2" s="1"/>
  <c r="V215" i="2" s="1"/>
  <c r="V216" i="2" s="1"/>
  <c r="V217" i="2" s="1"/>
  <c r="V218" i="2" s="1"/>
  <c r="V219" i="2" s="1"/>
  <c r="V220" i="2" s="1"/>
  <c r="V221" i="2" s="1"/>
  <c r="V222" i="2" s="1"/>
  <c r="D224" i="2" s="1"/>
  <c r="D225" i="2" s="1"/>
  <c r="D226" i="2" s="1"/>
  <c r="D227" i="2" s="1"/>
  <c r="D228" i="2" s="1"/>
  <c r="D229" i="2" s="1"/>
  <c r="D230" i="2" s="1"/>
  <c r="D231" i="2" s="1"/>
  <c r="D232" i="2" s="1"/>
  <c r="D233" i="2" s="1"/>
  <c r="D234" i="2" s="1"/>
  <c r="G224" i="2" s="1"/>
  <c r="G225" i="2" s="1"/>
  <c r="G226" i="2" s="1"/>
  <c r="G227" i="2" s="1"/>
  <c r="G228" i="2" s="1"/>
  <c r="G229" i="2" s="1"/>
  <c r="G230" i="2" s="1"/>
  <c r="G231" i="2" s="1"/>
  <c r="G232" i="2" s="1"/>
  <c r="G233" i="2" s="1"/>
  <c r="G234" i="2" s="1"/>
  <c r="J224" i="2" s="1"/>
  <c r="J225" i="2" s="1"/>
  <c r="J226" i="2" s="1"/>
  <c r="J227" i="2" s="1"/>
  <c r="J228" i="2" s="1"/>
  <c r="J229" i="2" s="1"/>
  <c r="J230" i="2" s="1"/>
  <c r="J231" i="2" s="1"/>
  <c r="J232" i="2" s="1"/>
  <c r="J233" i="2" s="1"/>
  <c r="J234" i="2" s="1"/>
  <c r="M224" i="2" s="1"/>
  <c r="M225" i="2" s="1"/>
  <c r="M226" i="2" s="1"/>
  <c r="M227" i="2" s="1"/>
  <c r="M228" i="2" s="1"/>
  <c r="M229" i="2" s="1"/>
  <c r="M230" i="2" s="1"/>
  <c r="M231" i="2" s="1"/>
  <c r="M232" i="2" s="1"/>
  <c r="M233" i="2" s="1"/>
  <c r="M234" i="2" s="1"/>
  <c r="P224" i="2" s="1"/>
  <c r="P225" i="2" s="1"/>
  <c r="P226" i="2" s="1"/>
  <c r="P227" i="2" s="1"/>
  <c r="P228" i="2" s="1"/>
  <c r="P229" i="2" s="1"/>
  <c r="P230" i="2" s="1"/>
  <c r="P231" i="2" s="1"/>
  <c r="P232" i="2" s="1"/>
  <c r="P233" i="2" s="1"/>
  <c r="P234" i="2" s="1"/>
  <c r="S224" i="2" s="1"/>
  <c r="S225" i="2" s="1"/>
  <c r="S226" i="2" s="1"/>
  <c r="S227" i="2" s="1"/>
  <c r="S228" i="2" s="1"/>
  <c r="S229" i="2" s="1"/>
  <c r="S230" i="2" s="1"/>
  <c r="S231" i="2" s="1"/>
  <c r="S232" i="2" s="1"/>
  <c r="S233" i="2" s="1"/>
  <c r="S234" i="2" s="1"/>
  <c r="V224" i="2" s="1"/>
  <c r="V225" i="2" s="1"/>
  <c r="V226" i="2" s="1"/>
  <c r="V227" i="2" s="1"/>
  <c r="V228" i="2" s="1"/>
  <c r="V229" i="2" s="1"/>
  <c r="V230" i="2" s="1"/>
  <c r="V231" i="2" s="1"/>
  <c r="V232" i="2" s="1"/>
  <c r="V233" i="2" s="1"/>
  <c r="V234" i="2" s="1"/>
  <c r="D236" i="2" s="1"/>
  <c r="D237" i="2" s="1"/>
  <c r="D238" i="2" s="1"/>
  <c r="D239" i="2" s="1"/>
  <c r="D240" i="2" s="1"/>
  <c r="D241" i="2" s="1"/>
  <c r="D242" i="2" s="1"/>
  <c r="D243" i="2" s="1"/>
  <c r="D244" i="2" s="1"/>
  <c r="D245" i="2" s="1"/>
  <c r="D246" i="2" s="1"/>
  <c r="G236" i="2" s="1"/>
  <c r="G237" i="2" s="1"/>
  <c r="G238" i="2" s="1"/>
  <c r="G239" i="2" s="1"/>
  <c r="G240" i="2" s="1"/>
  <c r="G241" i="2" s="1"/>
  <c r="G242" i="2" s="1"/>
  <c r="G243" i="2" s="1"/>
  <c r="G244" i="2" s="1"/>
  <c r="G245" i="2" s="1"/>
  <c r="G246" i="2" s="1"/>
  <c r="J236" i="2" s="1"/>
  <c r="J237" i="2" s="1"/>
  <c r="J238" i="2" s="1"/>
  <c r="J239" i="2" s="1"/>
  <c r="J240" i="2" s="1"/>
  <c r="J241" i="2" s="1"/>
  <c r="J242" i="2" s="1"/>
  <c r="J243" i="2" s="1"/>
  <c r="J244" i="2" s="1"/>
  <c r="J245" i="2" s="1"/>
  <c r="J246" i="2" s="1"/>
  <c r="M236" i="2" s="1"/>
  <c r="M237" i="2" s="1"/>
  <c r="M238" i="2" s="1"/>
  <c r="M239" i="2" s="1"/>
  <c r="M240" i="2" s="1"/>
  <c r="M241" i="2" s="1"/>
  <c r="M242" i="2" s="1"/>
  <c r="M243" i="2" s="1"/>
  <c r="M244" i="2" s="1"/>
  <c r="M245" i="2" s="1"/>
  <c r="M246" i="2" s="1"/>
  <c r="P236" i="2" s="1"/>
  <c r="P237" i="2" s="1"/>
  <c r="P238" i="2" s="1"/>
  <c r="P239" i="2" s="1"/>
  <c r="P240" i="2" s="1"/>
  <c r="P241" i="2" s="1"/>
  <c r="P242" i="2" s="1"/>
  <c r="P243" i="2" s="1"/>
  <c r="P244" i="2" s="1"/>
  <c r="P245" i="2" s="1"/>
  <c r="P246" i="2" s="1"/>
  <c r="S236" i="2" s="1"/>
  <c r="S237" i="2" s="1"/>
  <c r="S238" i="2" s="1"/>
  <c r="S239" i="2" s="1"/>
  <c r="S240" i="2" s="1"/>
  <c r="S241" i="2" s="1"/>
  <c r="S242" i="2" s="1"/>
  <c r="S243" i="2" s="1"/>
  <c r="S244" i="2" s="1"/>
  <c r="S245" i="2" s="1"/>
  <c r="S246" i="2" s="1"/>
  <c r="V236" i="2" s="1"/>
  <c r="V237" i="2" s="1"/>
  <c r="V238" i="2" s="1"/>
  <c r="V239" i="2" s="1"/>
  <c r="V240" i="2" s="1"/>
  <c r="V241" i="2" s="1"/>
  <c r="V242" i="2" s="1"/>
  <c r="V243" i="2" s="1"/>
  <c r="V244" i="2" s="1"/>
  <c r="V245" i="2" s="1"/>
  <c r="V246" i="2" s="1"/>
  <c r="D248" i="2" s="1"/>
  <c r="D249" i="2" s="1"/>
  <c r="D250" i="2" s="1"/>
  <c r="D251" i="2" s="1"/>
  <c r="D252" i="2" s="1"/>
  <c r="D253" i="2" s="1"/>
  <c r="D254" i="2" s="1"/>
  <c r="D255" i="2" s="1"/>
  <c r="D256" i="2" s="1"/>
  <c r="D257" i="2" s="1"/>
  <c r="D258" i="2" s="1"/>
  <c r="G248" i="2" s="1"/>
  <c r="G249" i="2" s="1"/>
  <c r="G250" i="2" s="1"/>
  <c r="G251" i="2" s="1"/>
  <c r="G252" i="2" s="1"/>
  <c r="G253" i="2" s="1"/>
  <c r="G254" i="2" s="1"/>
  <c r="G255" i="2" s="1"/>
  <c r="G256" i="2" s="1"/>
  <c r="G257" i="2" s="1"/>
  <c r="G258" i="2" s="1"/>
  <c r="J248" i="2" s="1"/>
  <c r="J249" i="2" s="1"/>
  <c r="J250" i="2" s="1"/>
  <c r="J251" i="2" s="1"/>
  <c r="J252" i="2" s="1"/>
  <c r="J253" i="2" s="1"/>
  <c r="J254" i="2" s="1"/>
  <c r="J255" i="2" s="1"/>
  <c r="J256" i="2" s="1"/>
  <c r="J257" i="2" s="1"/>
  <c r="J258" i="2" s="1"/>
  <c r="M248" i="2" s="1"/>
  <c r="M249" i="2" s="1"/>
  <c r="M250" i="2" s="1"/>
  <c r="M251" i="2" s="1"/>
  <c r="M252" i="2" s="1"/>
  <c r="M253" i="2" s="1"/>
  <c r="M254" i="2" s="1"/>
  <c r="M255" i="2" s="1"/>
  <c r="M256" i="2" s="1"/>
  <c r="M257" i="2" s="1"/>
  <c r="M258" i="2" s="1"/>
  <c r="P248" i="2" s="1"/>
  <c r="P249" i="2" s="1"/>
  <c r="P250" i="2" s="1"/>
  <c r="P251" i="2" s="1"/>
  <c r="P252" i="2" s="1"/>
  <c r="P253" i="2" s="1"/>
  <c r="P254" i="2" s="1"/>
  <c r="P255" i="2" s="1"/>
  <c r="P256" i="2" s="1"/>
  <c r="P257" i="2" s="1"/>
  <c r="P258" i="2" s="1"/>
  <c r="S248" i="2" s="1"/>
  <c r="S249" i="2" s="1"/>
  <c r="S250" i="2" s="1"/>
  <c r="S251" i="2" s="1"/>
  <c r="S252" i="2" s="1"/>
  <c r="S253" i="2" s="1"/>
  <c r="S254" i="2" s="1"/>
  <c r="S255" i="2" s="1"/>
  <c r="S256" i="2" s="1"/>
  <c r="S257" i="2" s="1"/>
  <c r="S258" i="2" s="1"/>
  <c r="V248" i="2" s="1"/>
  <c r="V249" i="2" s="1"/>
  <c r="V250" i="2" s="1"/>
  <c r="V251" i="2" s="1"/>
  <c r="V252" i="2" s="1"/>
  <c r="V253" i="2" s="1"/>
  <c r="V254" i="2" s="1"/>
  <c r="V255" i="2" s="1"/>
  <c r="V256" i="2" s="1"/>
  <c r="V257" i="2" s="1"/>
  <c r="V258" i="2" s="1"/>
  <c r="D260" i="2" s="1"/>
  <c r="D261" i="2" s="1"/>
  <c r="D262" i="2" s="1"/>
  <c r="D263" i="2" s="1"/>
  <c r="D264" i="2" s="1"/>
  <c r="D265" i="2" s="1"/>
  <c r="D266" i="2" s="1"/>
  <c r="D267" i="2" s="1"/>
  <c r="D268" i="2" s="1"/>
  <c r="D269" i="2" s="1"/>
  <c r="D270" i="2" s="1"/>
  <c r="G260" i="2" s="1"/>
  <c r="G261" i="2" s="1"/>
  <c r="G262" i="2" s="1"/>
  <c r="G263" i="2" s="1"/>
  <c r="G264" i="2" s="1"/>
  <c r="G265" i="2" s="1"/>
  <c r="G266" i="2" s="1"/>
  <c r="G267" i="2" s="1"/>
  <c r="G268" i="2" s="1"/>
  <c r="G269" i="2" s="1"/>
  <c r="G270" i="2" s="1"/>
  <c r="J260" i="2" s="1"/>
  <c r="J261" i="2" s="1"/>
  <c r="J262" i="2" s="1"/>
  <c r="J263" i="2" s="1"/>
  <c r="J264" i="2" s="1"/>
  <c r="J265" i="2" s="1"/>
  <c r="J266" i="2" s="1"/>
  <c r="J267" i="2" s="1"/>
  <c r="J268" i="2" s="1"/>
  <c r="J269" i="2" s="1"/>
  <c r="J270" i="2" s="1"/>
  <c r="M260" i="2" s="1"/>
  <c r="M261" i="2" s="1"/>
  <c r="M262" i="2" s="1"/>
  <c r="M263" i="2" s="1"/>
  <c r="M264" i="2" s="1"/>
  <c r="M265" i="2" s="1"/>
  <c r="M266" i="2" s="1"/>
  <c r="M267" i="2" s="1"/>
  <c r="M268" i="2" s="1"/>
  <c r="M269" i="2" s="1"/>
  <c r="M270" i="2" s="1"/>
  <c r="P260" i="2" s="1"/>
  <c r="P261" i="2" s="1"/>
  <c r="P262" i="2" s="1"/>
  <c r="P263" i="2" s="1"/>
  <c r="P264" i="2" s="1"/>
  <c r="P265" i="2" s="1"/>
  <c r="P266" i="2" s="1"/>
  <c r="P267" i="2" s="1"/>
  <c r="P268" i="2" s="1"/>
  <c r="P269" i="2" s="1"/>
  <c r="P270" i="2" s="1"/>
  <c r="S260" i="2" s="1"/>
  <c r="S261" i="2" s="1"/>
  <c r="S262" i="2" s="1"/>
  <c r="S263" i="2" s="1"/>
  <c r="S264" i="2" s="1"/>
  <c r="S265" i="2" s="1"/>
  <c r="S266" i="2" s="1"/>
  <c r="S267" i="2" s="1"/>
  <c r="S268" i="2" s="1"/>
  <c r="S269" i="2" s="1"/>
  <c r="S270" i="2" s="1"/>
  <c r="V260" i="2" s="1"/>
  <c r="V261" i="2" s="1"/>
  <c r="V262" i="2" s="1"/>
  <c r="V263" i="2" s="1"/>
  <c r="V264" i="2" s="1"/>
  <c r="V265" i="2" s="1"/>
  <c r="V266" i="2" s="1"/>
  <c r="V267" i="2" s="1"/>
  <c r="V268" i="2" s="1"/>
  <c r="V269" i="2" s="1"/>
  <c r="V270" i="2" s="1"/>
  <c r="D272" i="2" s="1"/>
  <c r="D273" i="2" s="1"/>
  <c r="D274" i="2" s="1"/>
  <c r="D275" i="2" s="1"/>
  <c r="D276" i="2" s="1"/>
  <c r="D277" i="2" s="1"/>
  <c r="D278" i="2" s="1"/>
  <c r="D279" i="2" s="1"/>
  <c r="D280" i="2" s="1"/>
  <c r="D281" i="2" s="1"/>
  <c r="D282" i="2" s="1"/>
  <c r="G272" i="2" s="1"/>
  <c r="G273" i="2" s="1"/>
  <c r="G274" i="2" s="1"/>
  <c r="G275" i="2" s="1"/>
  <c r="G276" i="2" s="1"/>
  <c r="G277" i="2" s="1"/>
  <c r="G278" i="2" s="1"/>
  <c r="G279" i="2" s="1"/>
  <c r="G280" i="2" s="1"/>
  <c r="G281" i="2" s="1"/>
  <c r="G282" i="2" s="1"/>
  <c r="J272" i="2" s="1"/>
  <c r="J273" i="2" s="1"/>
  <c r="J274" i="2" s="1"/>
  <c r="J275" i="2" s="1"/>
  <c r="J276" i="2" s="1"/>
  <c r="J277" i="2" s="1"/>
  <c r="J278" i="2" s="1"/>
  <c r="J279" i="2" s="1"/>
  <c r="J280" i="2" s="1"/>
  <c r="J281" i="2" s="1"/>
  <c r="J282" i="2" s="1"/>
  <c r="M272" i="2" s="1"/>
  <c r="M273" i="2" s="1"/>
  <c r="M274" i="2" s="1"/>
  <c r="M275" i="2" s="1"/>
  <c r="M276" i="2" s="1"/>
  <c r="M277" i="2" s="1"/>
  <c r="M278" i="2" s="1"/>
  <c r="M279" i="2" s="1"/>
  <c r="M280" i="2" s="1"/>
  <c r="M281" i="2" s="1"/>
  <c r="M282" i="2" s="1"/>
  <c r="P272" i="2" s="1"/>
  <c r="P273" i="2" s="1"/>
  <c r="P274" i="2" s="1"/>
  <c r="P275" i="2" s="1"/>
  <c r="P276" i="2" s="1"/>
  <c r="P277" i="2" s="1"/>
  <c r="P278" i="2" s="1"/>
  <c r="P279" i="2" s="1"/>
  <c r="P280" i="2" s="1"/>
  <c r="P281" i="2" s="1"/>
  <c r="P282" i="2" s="1"/>
  <c r="S272" i="2" s="1"/>
  <c r="S273" i="2" s="1"/>
  <c r="S274" i="2" s="1"/>
  <c r="S275" i="2" s="1"/>
  <c r="S276" i="2" s="1"/>
  <c r="S277" i="2" s="1"/>
  <c r="S278" i="2" s="1"/>
  <c r="S279" i="2" s="1"/>
  <c r="S280" i="2" s="1"/>
  <c r="S281" i="2" s="1"/>
  <c r="S282" i="2" s="1"/>
  <c r="V272" i="2" s="1"/>
  <c r="V273" i="2" s="1"/>
  <c r="V274" i="2" s="1"/>
  <c r="V275" i="2" s="1"/>
  <c r="V276" i="2" s="1"/>
  <c r="V277" i="2" s="1"/>
  <c r="V278" i="2" s="1"/>
  <c r="V279" i="2" s="1"/>
  <c r="V280" i="2" s="1"/>
  <c r="V281" i="2" s="1"/>
  <c r="V282" i="2" s="1"/>
  <c r="D284" i="2" s="1"/>
  <c r="D285" i="2" s="1"/>
  <c r="D286" i="2" s="1"/>
  <c r="D287" i="2" s="1"/>
  <c r="D288" i="2" s="1"/>
  <c r="D289" i="2" s="1"/>
  <c r="D290" i="2" s="1"/>
  <c r="D291" i="2" s="1"/>
  <c r="D292" i="2" s="1"/>
  <c r="D293" i="2" s="1"/>
  <c r="D294" i="2" s="1"/>
  <c r="G284" i="2" s="1"/>
  <c r="G285" i="2" s="1"/>
  <c r="G286" i="2" s="1"/>
  <c r="G287" i="2" s="1"/>
  <c r="G288" i="2" s="1"/>
  <c r="G289" i="2" s="1"/>
  <c r="G290" i="2" s="1"/>
  <c r="G291" i="2" s="1"/>
  <c r="G292" i="2" s="1"/>
  <c r="G293" i="2" s="1"/>
  <c r="G294" i="2" s="1"/>
  <c r="J284" i="2" s="1"/>
  <c r="J285" i="2" s="1"/>
  <c r="J286" i="2" s="1"/>
  <c r="J287" i="2" s="1"/>
  <c r="J288" i="2" s="1"/>
  <c r="J289" i="2" s="1"/>
  <c r="J290" i="2" s="1"/>
  <c r="J291" i="2" s="1"/>
  <c r="J292" i="2" s="1"/>
  <c r="J293" i="2" s="1"/>
  <c r="J294" i="2" s="1"/>
  <c r="M284" i="2" s="1"/>
  <c r="M285" i="2" s="1"/>
  <c r="M286" i="2" s="1"/>
  <c r="M287" i="2" s="1"/>
  <c r="M288" i="2" s="1"/>
  <c r="M289" i="2" s="1"/>
  <c r="M290" i="2" s="1"/>
  <c r="M291" i="2" s="1"/>
  <c r="M292" i="2" s="1"/>
  <c r="M293" i="2" s="1"/>
  <c r="M294" i="2" s="1"/>
  <c r="P284" i="2" s="1"/>
  <c r="P285" i="2" s="1"/>
  <c r="P286" i="2" s="1"/>
  <c r="P287" i="2" s="1"/>
  <c r="P288" i="2" s="1"/>
  <c r="P289" i="2" s="1"/>
  <c r="P290" i="2" s="1"/>
  <c r="P291" i="2" s="1"/>
  <c r="P292" i="2" s="1"/>
  <c r="P293" i="2" s="1"/>
  <c r="P294" i="2" s="1"/>
  <c r="S284" i="2" s="1"/>
  <c r="S285" i="2" s="1"/>
  <c r="S286" i="2" s="1"/>
  <c r="S287" i="2" s="1"/>
  <c r="S288" i="2" s="1"/>
  <c r="S289" i="2" s="1"/>
  <c r="S290" i="2" s="1"/>
  <c r="S291" i="2" s="1"/>
  <c r="S292" i="2" s="1"/>
  <c r="S293" i="2" s="1"/>
  <c r="S294" i="2" s="1"/>
  <c r="V284" i="2" s="1"/>
  <c r="V285" i="2" s="1"/>
  <c r="V286" i="2" s="1"/>
  <c r="V287" i="2" s="1"/>
  <c r="V288" i="2" s="1"/>
  <c r="V289" i="2" s="1"/>
  <c r="V290" i="2" s="1"/>
  <c r="V291" i="2" s="1"/>
  <c r="V292" i="2" s="1"/>
  <c r="V293" i="2" s="1"/>
  <c r="V294" i="2" s="1"/>
  <c r="D296" i="2" s="1"/>
  <c r="D297" i="2" s="1"/>
  <c r="D298" i="2" s="1"/>
  <c r="D299" i="2" s="1"/>
  <c r="D300" i="2" s="1"/>
  <c r="D301" i="2" s="1"/>
  <c r="D302" i="2" s="1"/>
  <c r="D303" i="2" s="1"/>
  <c r="D304" i="2" s="1"/>
  <c r="D305" i="2" s="1"/>
  <c r="D306" i="2" s="1"/>
  <c r="G296" i="2" s="1"/>
  <c r="G297" i="2" s="1"/>
  <c r="G298" i="2" s="1"/>
  <c r="G299" i="2" s="1"/>
  <c r="G300" i="2" s="1"/>
  <c r="G301" i="2" s="1"/>
  <c r="G302" i="2" s="1"/>
  <c r="G303" i="2" s="1"/>
  <c r="G304" i="2" s="1"/>
  <c r="G305" i="2" s="1"/>
  <c r="G306" i="2" s="1"/>
  <c r="J296" i="2" s="1"/>
  <c r="J297" i="2" s="1"/>
  <c r="J298" i="2" s="1"/>
  <c r="J299" i="2" s="1"/>
  <c r="J300" i="2" s="1"/>
  <c r="J301" i="2" s="1"/>
  <c r="J302" i="2" s="1"/>
  <c r="J303" i="2" s="1"/>
  <c r="J304" i="2" s="1"/>
  <c r="J305" i="2" s="1"/>
  <c r="J306" i="2" s="1"/>
  <c r="M296" i="2" s="1"/>
  <c r="M297" i="2" s="1"/>
  <c r="M298" i="2" s="1"/>
  <c r="M299" i="2" s="1"/>
  <c r="M300" i="2" s="1"/>
  <c r="M301" i="2" s="1"/>
  <c r="M302" i="2" s="1"/>
  <c r="M303" i="2" s="1"/>
  <c r="M304" i="2" s="1"/>
  <c r="M305" i="2" s="1"/>
  <c r="M306" i="2" s="1"/>
  <c r="P296" i="2" s="1"/>
  <c r="P297" i="2" s="1"/>
  <c r="P298" i="2" s="1"/>
  <c r="P299" i="2" s="1"/>
  <c r="P300" i="2" s="1"/>
  <c r="P301" i="2" s="1"/>
  <c r="P302" i="2" s="1"/>
  <c r="P303" i="2" s="1"/>
  <c r="P304" i="2" s="1"/>
  <c r="P305" i="2" s="1"/>
  <c r="P306" i="2" s="1"/>
  <c r="S296" i="2" s="1"/>
  <c r="S297" i="2" s="1"/>
  <c r="S298" i="2" s="1"/>
  <c r="S299" i="2" s="1"/>
  <c r="S300" i="2" s="1"/>
  <c r="S301" i="2" s="1"/>
  <c r="S302" i="2" s="1"/>
  <c r="S303" i="2" s="1"/>
  <c r="S304" i="2" s="1"/>
  <c r="S305" i="2" s="1"/>
  <c r="S306" i="2" s="1"/>
  <c r="V296" i="2" s="1"/>
  <c r="V297" i="2" s="1"/>
  <c r="V298" i="2" s="1"/>
  <c r="V299" i="2" s="1"/>
  <c r="V300" i="2" s="1"/>
  <c r="V301" i="2" s="1"/>
  <c r="V302" i="2" s="1"/>
  <c r="V303" i="2" s="1"/>
  <c r="V304" i="2" s="1"/>
  <c r="V305" i="2" s="1"/>
  <c r="V306" i="2" s="1"/>
  <c r="D308" i="2" s="1"/>
  <c r="D309" i="2" s="1"/>
  <c r="D310" i="2" s="1"/>
  <c r="D311" i="2" s="1"/>
  <c r="D312" i="2" s="1"/>
  <c r="D313" i="2" s="1"/>
  <c r="D314" i="2" s="1"/>
  <c r="D315" i="2" s="1"/>
  <c r="D316" i="2" s="1"/>
  <c r="D317" i="2" s="1"/>
  <c r="D318" i="2" s="1"/>
  <c r="G308" i="2" s="1"/>
  <c r="G309" i="2" s="1"/>
  <c r="G310" i="2" s="1"/>
  <c r="G311" i="2" s="1"/>
  <c r="G312" i="2" s="1"/>
  <c r="G313" i="2" s="1"/>
  <c r="G314" i="2" s="1"/>
  <c r="G315" i="2" s="1"/>
  <c r="G316" i="2" s="1"/>
  <c r="G317" i="2" s="1"/>
  <c r="G318" i="2" s="1"/>
  <c r="J308" i="2" s="1"/>
  <c r="J309" i="2" s="1"/>
  <c r="J310" i="2" s="1"/>
  <c r="J311" i="2" s="1"/>
  <c r="J312" i="2" s="1"/>
  <c r="J313" i="2" s="1"/>
  <c r="J314" i="2" s="1"/>
  <c r="J315" i="2" s="1"/>
  <c r="J316" i="2" s="1"/>
  <c r="J317" i="2" s="1"/>
  <c r="J318" i="2" s="1"/>
  <c r="M308" i="2" s="1"/>
  <c r="M309" i="2" s="1"/>
  <c r="M310" i="2" s="1"/>
  <c r="M311" i="2" s="1"/>
  <c r="M312" i="2" s="1"/>
  <c r="M313" i="2" s="1"/>
  <c r="M314" i="2" s="1"/>
  <c r="M315" i="2" s="1"/>
  <c r="M316" i="2" s="1"/>
  <c r="M317" i="2" s="1"/>
  <c r="M318" i="2" s="1"/>
  <c r="P308" i="2" s="1"/>
  <c r="P309" i="2" s="1"/>
  <c r="P310" i="2" s="1"/>
  <c r="P311" i="2" s="1"/>
  <c r="P312" i="2" s="1"/>
  <c r="P313" i="2" s="1"/>
  <c r="P314" i="2" s="1"/>
  <c r="P315" i="2" s="1"/>
  <c r="P316" i="2" s="1"/>
  <c r="P317" i="2" s="1"/>
  <c r="P318" i="2" s="1"/>
  <c r="S308" i="2" s="1"/>
  <c r="S309" i="2" s="1"/>
  <c r="S310" i="2" s="1"/>
  <c r="S311" i="2" s="1"/>
  <c r="S312" i="2" s="1"/>
  <c r="S313" i="2" s="1"/>
  <c r="S314" i="2" s="1"/>
  <c r="S315" i="2" s="1"/>
  <c r="S316" i="2" s="1"/>
  <c r="S317" i="2" s="1"/>
  <c r="S318" i="2" s="1"/>
  <c r="V308" i="2" s="1"/>
  <c r="V309" i="2" s="1"/>
  <c r="V310" i="2" s="1"/>
  <c r="V311" i="2" s="1"/>
  <c r="V312" i="2" s="1"/>
  <c r="V313" i="2" s="1"/>
  <c r="V314" i="2" s="1"/>
  <c r="V315" i="2" s="1"/>
  <c r="V316" i="2" s="1"/>
  <c r="V317" i="2" s="1"/>
  <c r="V318" i="2" s="1"/>
  <c r="D320" i="2" s="1"/>
  <c r="D321" i="2" s="1"/>
  <c r="D322" i="2" s="1"/>
  <c r="D323" i="2" s="1"/>
  <c r="D324" i="2" s="1"/>
  <c r="D325" i="2" s="1"/>
  <c r="D326" i="2" s="1"/>
  <c r="D327" i="2" s="1"/>
  <c r="D328" i="2" s="1"/>
  <c r="D329" i="2" s="1"/>
  <c r="D330" i="2" s="1"/>
  <c r="G320" i="2" s="1"/>
  <c r="G321" i="2" s="1"/>
  <c r="G322" i="2" s="1"/>
  <c r="G323" i="2" s="1"/>
  <c r="G324" i="2" s="1"/>
  <c r="G325" i="2" s="1"/>
  <c r="G326" i="2" s="1"/>
  <c r="G327" i="2" s="1"/>
  <c r="G328" i="2" s="1"/>
  <c r="G329" i="2" s="1"/>
  <c r="G330" i="2" s="1"/>
  <c r="J320" i="2" s="1"/>
  <c r="J321" i="2" s="1"/>
  <c r="J322" i="2" s="1"/>
  <c r="J323" i="2" s="1"/>
  <c r="J324" i="2" s="1"/>
  <c r="J325" i="2" s="1"/>
  <c r="J326" i="2" s="1"/>
  <c r="J327" i="2" s="1"/>
  <c r="J328" i="2" s="1"/>
  <c r="J329" i="2" s="1"/>
  <c r="J330" i="2" s="1"/>
  <c r="M320" i="2" s="1"/>
  <c r="M321" i="2" s="1"/>
  <c r="M322" i="2" s="1"/>
  <c r="M323" i="2" s="1"/>
  <c r="M324" i="2" s="1"/>
  <c r="M325" i="2" s="1"/>
  <c r="M326" i="2" s="1"/>
  <c r="M327" i="2" s="1"/>
  <c r="M328" i="2" s="1"/>
  <c r="M329" i="2" s="1"/>
  <c r="M330" i="2" s="1"/>
  <c r="P320" i="2" s="1"/>
  <c r="P321" i="2" s="1"/>
  <c r="P322" i="2" s="1"/>
  <c r="P323" i="2" s="1"/>
  <c r="P324" i="2" s="1"/>
  <c r="P325" i="2" s="1"/>
  <c r="P326" i="2" s="1"/>
  <c r="P327" i="2" s="1"/>
  <c r="P328" i="2" s="1"/>
  <c r="P329" i="2" s="1"/>
  <c r="P330" i="2" s="1"/>
  <c r="S320" i="2" s="1"/>
  <c r="S321" i="2" s="1"/>
  <c r="S322" i="2" s="1"/>
  <c r="S323" i="2" s="1"/>
  <c r="S324" i="2" s="1"/>
  <c r="S325" i="2" s="1"/>
  <c r="S326" i="2" s="1"/>
  <c r="S327" i="2" s="1"/>
  <c r="S328" i="2" s="1"/>
  <c r="S329" i="2" s="1"/>
  <c r="S330" i="2" s="1"/>
  <c r="V320" i="2" s="1"/>
  <c r="V321" i="2" s="1"/>
  <c r="V322" i="2" s="1"/>
  <c r="V323" i="2" s="1"/>
  <c r="V324" i="2" s="1"/>
  <c r="V325" i="2" s="1"/>
  <c r="V326" i="2" s="1"/>
  <c r="V327" i="2" s="1"/>
  <c r="V328" i="2" s="1"/>
  <c r="V329" i="2" s="1"/>
  <c r="V330" i="2" s="1"/>
  <c r="D332" i="2" s="1"/>
  <c r="D333" i="2" s="1"/>
  <c r="D334" i="2" s="1"/>
  <c r="D335" i="2" s="1"/>
  <c r="D336" i="2" s="1"/>
  <c r="D337" i="2" s="1"/>
  <c r="D338" i="2" s="1"/>
  <c r="D339" i="2" s="1"/>
  <c r="D340" i="2" s="1"/>
  <c r="D341" i="2" s="1"/>
  <c r="D342" i="2" s="1"/>
  <c r="G332" i="2" s="1"/>
  <c r="G333" i="2" s="1"/>
  <c r="G334" i="2" s="1"/>
  <c r="G335" i="2" s="1"/>
  <c r="G336" i="2" s="1"/>
  <c r="G337" i="2" s="1"/>
  <c r="G338" i="2" s="1"/>
  <c r="G339" i="2" s="1"/>
  <c r="G340" i="2" s="1"/>
  <c r="G341" i="2" s="1"/>
  <c r="G342" i="2" s="1"/>
  <c r="J332" i="2" s="1"/>
  <c r="J333" i="2" s="1"/>
  <c r="J334" i="2" s="1"/>
  <c r="J335" i="2" s="1"/>
  <c r="J336" i="2" s="1"/>
  <c r="J337" i="2" s="1"/>
  <c r="J338" i="2" s="1"/>
  <c r="J339" i="2" s="1"/>
  <c r="J340" i="2" s="1"/>
  <c r="J341" i="2" s="1"/>
  <c r="J342" i="2" s="1"/>
  <c r="M332" i="2" s="1"/>
  <c r="M333" i="2" s="1"/>
  <c r="M334" i="2" s="1"/>
  <c r="M335" i="2" s="1"/>
  <c r="M336" i="2" s="1"/>
  <c r="M337" i="2" s="1"/>
  <c r="M338" i="2" s="1"/>
  <c r="M339" i="2" s="1"/>
  <c r="M340" i="2" s="1"/>
  <c r="M341" i="2" s="1"/>
  <c r="M342" i="2" s="1"/>
  <c r="P332" i="2" s="1"/>
  <c r="P333" i="2" s="1"/>
  <c r="P334" i="2" s="1"/>
  <c r="P335" i="2" s="1"/>
  <c r="P336" i="2" s="1"/>
  <c r="P337" i="2" s="1"/>
  <c r="P338" i="2" s="1"/>
  <c r="P339" i="2" s="1"/>
  <c r="P340" i="2" s="1"/>
  <c r="P341" i="2" s="1"/>
  <c r="P342" i="2" s="1"/>
  <c r="S332" i="2" s="1"/>
  <c r="S333" i="2" s="1"/>
  <c r="S334" i="2" s="1"/>
  <c r="S335" i="2" s="1"/>
  <c r="S336" i="2" s="1"/>
  <c r="S337" i="2" s="1"/>
  <c r="S338" i="2" s="1"/>
  <c r="S339" i="2" s="1"/>
  <c r="S340" i="2" s="1"/>
  <c r="S341" i="2" s="1"/>
  <c r="S342" i="2" s="1"/>
  <c r="V332" i="2" s="1"/>
  <c r="V333" i="2" s="1"/>
  <c r="V334" i="2" s="1"/>
  <c r="V335" i="2" s="1"/>
  <c r="V336" i="2" s="1"/>
  <c r="V337" i="2" s="1"/>
  <c r="V338" i="2" s="1"/>
  <c r="V339" i="2" s="1"/>
  <c r="V340" i="2" s="1"/>
  <c r="V341" i="2" s="1"/>
  <c r="V342" i="2" s="1"/>
  <c r="D344" i="2" s="1"/>
  <c r="D345" i="2" s="1"/>
  <c r="D346" i="2" s="1"/>
  <c r="D347" i="2" s="1"/>
  <c r="D348" i="2" s="1"/>
  <c r="D349" i="2" s="1"/>
  <c r="D350" i="2" s="1"/>
  <c r="D351" i="2" s="1"/>
  <c r="D352" i="2" s="1"/>
  <c r="D353" i="2" s="1"/>
  <c r="D354" i="2" s="1"/>
  <c r="G344" i="2" s="1"/>
  <c r="G345" i="2" s="1"/>
  <c r="G346" i="2" s="1"/>
  <c r="G347" i="2" s="1"/>
  <c r="G348" i="2" s="1"/>
  <c r="G349" i="2" s="1"/>
  <c r="G350" i="2" s="1"/>
  <c r="G351" i="2" s="1"/>
  <c r="G352" i="2" s="1"/>
  <c r="G353" i="2" s="1"/>
  <c r="G354" i="2" s="1"/>
  <c r="J344" i="2" s="1"/>
  <c r="J345" i="2" s="1"/>
  <c r="J346" i="2" s="1"/>
  <c r="J347" i="2" s="1"/>
  <c r="J348" i="2" s="1"/>
  <c r="J349" i="2" s="1"/>
  <c r="J350" i="2" s="1"/>
  <c r="J351" i="2" s="1"/>
  <c r="J352" i="2" s="1"/>
  <c r="J353" i="2" s="1"/>
  <c r="J354" i="2" s="1"/>
  <c r="M344" i="2" s="1"/>
  <c r="M345" i="2" s="1"/>
  <c r="M346" i="2" s="1"/>
  <c r="M347" i="2" s="1"/>
  <c r="M348" i="2" s="1"/>
  <c r="M349" i="2" s="1"/>
  <c r="M350" i="2" s="1"/>
  <c r="M351" i="2" s="1"/>
  <c r="M352" i="2" s="1"/>
  <c r="M353" i="2" s="1"/>
  <c r="M354" i="2" s="1"/>
  <c r="P344" i="2" s="1"/>
  <c r="P345" i="2" s="1"/>
  <c r="P346" i="2" s="1"/>
  <c r="P347" i="2" s="1"/>
  <c r="P348" i="2" s="1"/>
  <c r="P349" i="2" s="1"/>
  <c r="P350" i="2" s="1"/>
  <c r="P351" i="2" s="1"/>
  <c r="P352" i="2" s="1"/>
  <c r="P353" i="2" s="1"/>
  <c r="P354" i="2" s="1"/>
  <c r="S344" i="2" s="1"/>
  <c r="S345" i="2" s="1"/>
  <c r="S346" i="2" s="1"/>
  <c r="S347" i="2" s="1"/>
  <c r="S348" i="2" s="1"/>
  <c r="S349" i="2" s="1"/>
  <c r="S350" i="2" s="1"/>
  <c r="S351" i="2" s="1"/>
  <c r="S352" i="2" s="1"/>
  <c r="S353" i="2" s="1"/>
  <c r="S354" i="2" s="1"/>
  <c r="V344" i="2" s="1"/>
  <c r="V345" i="2" s="1"/>
  <c r="V346" i="2" s="1"/>
  <c r="V347" i="2" s="1"/>
  <c r="V348" i="2" s="1"/>
  <c r="V349" i="2" s="1"/>
  <c r="V350" i="2" s="1"/>
  <c r="V351" i="2" s="1"/>
  <c r="V352" i="2" s="1"/>
  <c r="V353" i="2" s="1"/>
  <c r="V354" i="2" s="1"/>
  <c r="D356" i="2" s="1"/>
  <c r="D357" i="2" s="1"/>
  <c r="D358" i="2" s="1"/>
  <c r="D359" i="2" s="1"/>
  <c r="D360" i="2" s="1"/>
  <c r="D361" i="2" s="1"/>
  <c r="D362" i="2" s="1"/>
  <c r="D363" i="2" s="1"/>
  <c r="D364" i="2" s="1"/>
  <c r="D365" i="2" s="1"/>
  <c r="D366" i="2" s="1"/>
  <c r="G356" i="2" s="1"/>
  <c r="G357" i="2" s="1"/>
  <c r="G358" i="2" s="1"/>
  <c r="G359" i="2" s="1"/>
  <c r="G360" i="2" s="1"/>
  <c r="G361" i="2" s="1"/>
  <c r="G362" i="2" s="1"/>
  <c r="G363" i="2" s="1"/>
  <c r="G364" i="2" s="1"/>
  <c r="G365" i="2" s="1"/>
  <c r="G366" i="2" s="1"/>
  <c r="J356" i="2" s="1"/>
  <c r="J357" i="2" s="1"/>
  <c r="J358" i="2" s="1"/>
  <c r="J359" i="2" s="1"/>
  <c r="J360" i="2" s="1"/>
  <c r="J361" i="2" s="1"/>
  <c r="J362" i="2" s="1"/>
  <c r="J363" i="2" s="1"/>
  <c r="J364" i="2" s="1"/>
  <c r="J365" i="2" s="1"/>
  <c r="J366" i="2" s="1"/>
  <c r="M356" i="2" s="1"/>
  <c r="M357" i="2" s="1"/>
  <c r="M358" i="2" s="1"/>
  <c r="M359" i="2" s="1"/>
  <c r="M360" i="2" s="1"/>
  <c r="M361" i="2" s="1"/>
  <c r="M362" i="2" s="1"/>
  <c r="M363" i="2" s="1"/>
  <c r="M364" i="2" s="1"/>
  <c r="M365" i="2" s="1"/>
  <c r="M366" i="2" s="1"/>
  <c r="P356" i="2" s="1"/>
  <c r="P357" i="2" s="1"/>
  <c r="P358" i="2" s="1"/>
  <c r="P359" i="2" s="1"/>
  <c r="P360" i="2" s="1"/>
  <c r="P361" i="2" s="1"/>
  <c r="P362" i="2" s="1"/>
  <c r="P363" i="2" s="1"/>
  <c r="P364" i="2" s="1"/>
  <c r="P365" i="2" s="1"/>
  <c r="P366" i="2" s="1"/>
  <c r="S356" i="2" s="1"/>
  <c r="S357" i="2" s="1"/>
  <c r="S358" i="2" s="1"/>
  <c r="S359" i="2" s="1"/>
  <c r="S360" i="2" s="1"/>
  <c r="S361" i="2" s="1"/>
  <c r="S362" i="2" s="1"/>
  <c r="S363" i="2" s="1"/>
  <c r="S364" i="2" s="1"/>
  <c r="S365" i="2" s="1"/>
  <c r="S366" i="2" s="1"/>
  <c r="V356" i="2" s="1"/>
  <c r="V357" i="2" s="1"/>
  <c r="V358" i="2" s="1"/>
  <c r="V359" i="2" s="1"/>
  <c r="V360" i="2" s="1"/>
  <c r="V361" i="2" s="1"/>
  <c r="V362" i="2" s="1"/>
  <c r="V363" i="2" s="1"/>
  <c r="V364" i="2" s="1"/>
  <c r="V365" i="2" s="1"/>
  <c r="V366" i="2" s="1"/>
  <c r="D368" i="2" s="1"/>
  <c r="D369" i="2" s="1"/>
  <c r="D370" i="2" s="1"/>
  <c r="D371" i="2" s="1"/>
  <c r="D372" i="2" s="1"/>
  <c r="D373" i="2" s="1"/>
  <c r="D374" i="2" s="1"/>
  <c r="D375" i="2" s="1"/>
  <c r="D376" i="2" s="1"/>
  <c r="D377" i="2" s="1"/>
  <c r="D378" i="2" s="1"/>
  <c r="G368" i="2" s="1"/>
  <c r="G369" i="2" s="1"/>
  <c r="G370" i="2" s="1"/>
  <c r="G371" i="2" s="1"/>
  <c r="G372" i="2" s="1"/>
  <c r="G373" i="2" s="1"/>
  <c r="G374" i="2" s="1"/>
  <c r="G375" i="2" s="1"/>
  <c r="G376" i="2" s="1"/>
  <c r="G377" i="2" s="1"/>
  <c r="G378" i="2" s="1"/>
  <c r="J368" i="2" s="1"/>
  <c r="J369" i="2" s="1"/>
  <c r="J370" i="2" s="1"/>
  <c r="J371" i="2" s="1"/>
  <c r="J372" i="2" s="1"/>
  <c r="J373" i="2" s="1"/>
  <c r="J374" i="2" s="1"/>
  <c r="J375" i="2" s="1"/>
  <c r="J376" i="2" s="1"/>
  <c r="J377" i="2" s="1"/>
  <c r="J378" i="2" s="1"/>
  <c r="M368" i="2" s="1"/>
  <c r="M369" i="2" s="1"/>
  <c r="M370" i="2" s="1"/>
  <c r="M371" i="2" s="1"/>
  <c r="M372" i="2" s="1"/>
  <c r="M373" i="2" s="1"/>
  <c r="M374" i="2" s="1"/>
  <c r="M375" i="2" s="1"/>
  <c r="M376" i="2" s="1"/>
  <c r="M377" i="2" s="1"/>
  <c r="M378" i="2" s="1"/>
  <c r="P368" i="2" s="1"/>
  <c r="P369" i="2" s="1"/>
  <c r="P370" i="2" s="1"/>
  <c r="P371" i="2" s="1"/>
  <c r="P372" i="2" s="1"/>
  <c r="P373" i="2" s="1"/>
  <c r="P374" i="2" s="1"/>
  <c r="P375" i="2" s="1"/>
  <c r="P376" i="2" s="1"/>
  <c r="P377" i="2" s="1"/>
  <c r="P378" i="2" s="1"/>
  <c r="S368" i="2" s="1"/>
  <c r="S369" i="2" s="1"/>
  <c r="S370" i="2" s="1"/>
  <c r="S371" i="2" s="1"/>
  <c r="S372" i="2" s="1"/>
  <c r="S373" i="2" s="1"/>
  <c r="S374" i="2" s="1"/>
  <c r="S375" i="2" s="1"/>
  <c r="S376" i="2" s="1"/>
  <c r="S377" i="2" s="1"/>
  <c r="S378" i="2" s="1"/>
  <c r="V368" i="2" s="1"/>
  <c r="V369" i="2" s="1"/>
  <c r="V370" i="2" s="1"/>
  <c r="V371" i="2" s="1"/>
  <c r="V372" i="2" s="1"/>
  <c r="V373" i="2" s="1"/>
  <c r="V374" i="2" s="1"/>
  <c r="V375" i="2" s="1"/>
  <c r="V376" i="2" s="1"/>
  <c r="V377" i="2" s="1"/>
  <c r="V378" i="2" s="1"/>
  <c r="D380" i="2" s="1"/>
  <c r="D381" i="2" s="1"/>
  <c r="D382" i="2" s="1"/>
  <c r="D383" i="2" s="1"/>
  <c r="D384" i="2" s="1"/>
  <c r="D385" i="2" s="1"/>
  <c r="D386" i="2" s="1"/>
  <c r="D387" i="2" s="1"/>
  <c r="D388" i="2" s="1"/>
  <c r="D389" i="2" s="1"/>
  <c r="D390" i="2" s="1"/>
  <c r="G380" i="2" s="1"/>
  <c r="G381" i="2" s="1"/>
  <c r="G382" i="2" s="1"/>
  <c r="G383" i="2" s="1"/>
  <c r="G384" i="2" s="1"/>
  <c r="G385" i="2" s="1"/>
  <c r="G386" i="2" s="1"/>
  <c r="G387" i="2" s="1"/>
  <c r="G388" i="2" s="1"/>
  <c r="G389" i="2" s="1"/>
  <c r="G390" i="2" s="1"/>
  <c r="J380" i="2" s="1"/>
  <c r="J381" i="2" s="1"/>
  <c r="J382" i="2" s="1"/>
  <c r="J383" i="2" s="1"/>
  <c r="J384" i="2" s="1"/>
  <c r="J385" i="2" s="1"/>
  <c r="J386" i="2" s="1"/>
  <c r="J387" i="2" s="1"/>
  <c r="J388" i="2" s="1"/>
  <c r="J389" i="2" s="1"/>
  <c r="J390" i="2" s="1"/>
  <c r="M380" i="2" s="1"/>
  <c r="M381" i="2" s="1"/>
  <c r="M382" i="2" s="1"/>
  <c r="M383" i="2" s="1"/>
  <c r="M384" i="2" s="1"/>
  <c r="M385" i="2" s="1"/>
  <c r="M386" i="2" s="1"/>
  <c r="M387" i="2" s="1"/>
  <c r="M388" i="2" s="1"/>
  <c r="M389" i="2" s="1"/>
  <c r="M390" i="2" s="1"/>
  <c r="P380" i="2" s="1"/>
  <c r="P381" i="2" s="1"/>
  <c r="P382" i="2" s="1"/>
  <c r="P383" i="2" s="1"/>
  <c r="P384" i="2" s="1"/>
  <c r="P385" i="2" s="1"/>
  <c r="P386" i="2" s="1"/>
  <c r="P387" i="2" s="1"/>
  <c r="P388" i="2" s="1"/>
  <c r="P389" i="2" s="1"/>
  <c r="P390" i="2" s="1"/>
  <c r="S380" i="2" s="1"/>
  <c r="S381" i="2" s="1"/>
  <c r="S382" i="2" s="1"/>
  <c r="S383" i="2" s="1"/>
  <c r="S384" i="2" s="1"/>
  <c r="S385" i="2" s="1"/>
  <c r="S386" i="2" s="1"/>
  <c r="S387" i="2" s="1"/>
  <c r="S388" i="2" s="1"/>
  <c r="S389" i="2" s="1"/>
  <c r="S390" i="2" s="1"/>
  <c r="V380" i="2" s="1"/>
  <c r="V381" i="2" s="1"/>
  <c r="V382" i="2" s="1"/>
  <c r="V383" i="2" s="1"/>
  <c r="V384" i="2" s="1"/>
  <c r="V385" i="2" s="1"/>
  <c r="V386" i="2" s="1"/>
  <c r="V387" i="2" s="1"/>
  <c r="V388" i="2" s="1"/>
  <c r="V389" i="2" s="1"/>
  <c r="V390" i="2" s="1"/>
  <c r="D392" i="2" s="1"/>
  <c r="D393" i="2" s="1"/>
  <c r="D394" i="2" s="1"/>
  <c r="D395" i="2" s="1"/>
  <c r="D396" i="2" s="1"/>
  <c r="D397" i="2" s="1"/>
  <c r="D398" i="2" s="1"/>
  <c r="D399" i="2" s="1"/>
  <c r="D400" i="2" s="1"/>
  <c r="D401" i="2" s="1"/>
  <c r="D402" i="2" s="1"/>
  <c r="G392" i="2" s="1"/>
  <c r="G393" i="2" s="1"/>
  <c r="G394" i="2" s="1"/>
  <c r="G395" i="2" s="1"/>
  <c r="G396" i="2" s="1"/>
  <c r="G397" i="2" s="1"/>
  <c r="G398" i="2" s="1"/>
  <c r="G399" i="2" s="1"/>
  <c r="G400" i="2" s="1"/>
  <c r="G401" i="2" s="1"/>
  <c r="G402" i="2" s="1"/>
  <c r="J392" i="2" s="1"/>
  <c r="J393" i="2" s="1"/>
  <c r="J394" i="2" s="1"/>
  <c r="J395" i="2" s="1"/>
  <c r="J396" i="2" s="1"/>
  <c r="J397" i="2" s="1"/>
  <c r="J398" i="2" s="1"/>
  <c r="J399" i="2" s="1"/>
  <c r="J400" i="2" s="1"/>
  <c r="J401" i="2" s="1"/>
  <c r="J402" i="2" s="1"/>
  <c r="M392" i="2" s="1"/>
  <c r="M393" i="2" s="1"/>
  <c r="M394" i="2" s="1"/>
  <c r="M395" i="2" s="1"/>
  <c r="M396" i="2" s="1"/>
  <c r="M397" i="2" s="1"/>
  <c r="M398" i="2" s="1"/>
  <c r="M399" i="2" s="1"/>
  <c r="M400" i="2" s="1"/>
  <c r="M401" i="2" s="1"/>
  <c r="M402" i="2" s="1"/>
  <c r="P392" i="2" s="1"/>
  <c r="P393" i="2" s="1"/>
  <c r="P394" i="2" s="1"/>
  <c r="P395" i="2" s="1"/>
  <c r="P396" i="2" s="1"/>
  <c r="P397" i="2" s="1"/>
  <c r="P398" i="2" s="1"/>
  <c r="P399" i="2" s="1"/>
  <c r="P400" i="2" s="1"/>
  <c r="P401" i="2" s="1"/>
  <c r="P402" i="2" s="1"/>
  <c r="S392" i="2" s="1"/>
  <c r="S393" i="2" s="1"/>
  <c r="S394" i="2" s="1"/>
  <c r="S395" i="2" s="1"/>
  <c r="S396" i="2" s="1"/>
  <c r="S397" i="2" s="1"/>
  <c r="S398" i="2" s="1"/>
  <c r="S399" i="2" s="1"/>
  <c r="S400" i="2" s="1"/>
  <c r="S401" i="2" s="1"/>
  <c r="S402" i="2" s="1"/>
  <c r="V392" i="2" s="1"/>
  <c r="V393" i="2" s="1"/>
  <c r="V394" i="2" s="1"/>
  <c r="V395" i="2" s="1"/>
  <c r="V396" i="2" s="1"/>
  <c r="V397" i="2" s="1"/>
  <c r="V398" i="2" s="1"/>
  <c r="V399" i="2" s="1"/>
  <c r="V400" i="2" s="1"/>
  <c r="V401" i="2" s="1"/>
  <c r="V402" i="2" s="1"/>
  <c r="D404" i="2" s="1"/>
  <c r="D405" i="2" s="1"/>
  <c r="D406" i="2" s="1"/>
  <c r="D407" i="2" s="1"/>
  <c r="D408" i="2" s="1"/>
  <c r="D409" i="2" s="1"/>
  <c r="D410" i="2" s="1"/>
  <c r="D411" i="2" s="1"/>
  <c r="D412" i="2" s="1"/>
  <c r="D413" i="2" s="1"/>
  <c r="D414" i="2" s="1"/>
  <c r="G404" i="2" s="1"/>
  <c r="G405" i="2" s="1"/>
  <c r="G406" i="2" s="1"/>
  <c r="G407" i="2" s="1"/>
  <c r="G408" i="2" s="1"/>
  <c r="G409" i="2" s="1"/>
  <c r="G410" i="2" s="1"/>
  <c r="G411" i="2" s="1"/>
  <c r="G412" i="2" s="1"/>
  <c r="G413" i="2" s="1"/>
  <c r="G414" i="2" s="1"/>
  <c r="J404" i="2" s="1"/>
  <c r="J405" i="2" s="1"/>
  <c r="J406" i="2" s="1"/>
  <c r="J407" i="2" s="1"/>
  <c r="J408" i="2" s="1"/>
  <c r="J409" i="2" s="1"/>
  <c r="J410" i="2" s="1"/>
  <c r="J411" i="2" s="1"/>
  <c r="J412" i="2" s="1"/>
  <c r="J413" i="2" s="1"/>
  <c r="J414" i="2" s="1"/>
  <c r="M404" i="2" s="1"/>
  <c r="M405" i="2" s="1"/>
  <c r="M406" i="2" s="1"/>
  <c r="M407" i="2" s="1"/>
  <c r="M408" i="2" s="1"/>
  <c r="M409" i="2" s="1"/>
  <c r="M410" i="2" s="1"/>
  <c r="M411" i="2" s="1"/>
  <c r="M412" i="2" s="1"/>
  <c r="M413" i="2" s="1"/>
  <c r="M414" i="2" s="1"/>
  <c r="P404" i="2" s="1"/>
  <c r="P405" i="2" s="1"/>
  <c r="P406" i="2" s="1"/>
  <c r="P407" i="2" s="1"/>
  <c r="P408" i="2" s="1"/>
  <c r="P409" i="2" s="1"/>
  <c r="P410" i="2" s="1"/>
  <c r="P411" i="2" s="1"/>
  <c r="P412" i="2" s="1"/>
  <c r="P413" i="2" s="1"/>
  <c r="P414" i="2" s="1"/>
  <c r="S404" i="2" s="1"/>
  <c r="S405" i="2" s="1"/>
  <c r="S406" i="2" s="1"/>
  <c r="S407" i="2" s="1"/>
  <c r="S408" i="2" s="1"/>
  <c r="S409" i="2" s="1"/>
  <c r="S410" i="2" s="1"/>
  <c r="S411" i="2" s="1"/>
  <c r="S412" i="2" s="1"/>
  <c r="S413" i="2" s="1"/>
  <c r="S414" i="2" s="1"/>
  <c r="V404" i="2" s="1"/>
  <c r="V405" i="2" s="1"/>
  <c r="V406" i="2" s="1"/>
  <c r="V407" i="2" s="1"/>
  <c r="V408" i="2" s="1"/>
  <c r="V409" i="2" s="1"/>
  <c r="V410" i="2" s="1"/>
  <c r="V411" i="2" s="1"/>
  <c r="V412" i="2" s="1"/>
  <c r="V413" i="2" s="1"/>
  <c r="V414" i="2" s="1"/>
  <c r="D416" i="2" s="1"/>
  <c r="D417" i="2" s="1"/>
  <c r="D418" i="2" s="1"/>
  <c r="D419" i="2" s="1"/>
  <c r="D420" i="2" s="1"/>
  <c r="D421" i="2" s="1"/>
  <c r="D422" i="2" s="1"/>
  <c r="D423" i="2" s="1"/>
  <c r="D424" i="2" s="1"/>
  <c r="D425" i="2" s="1"/>
  <c r="D426" i="2" s="1"/>
  <c r="G416" i="2" s="1"/>
  <c r="G417" i="2" s="1"/>
  <c r="G418" i="2" s="1"/>
  <c r="G419" i="2" s="1"/>
  <c r="G420" i="2" s="1"/>
  <c r="G421" i="2" s="1"/>
  <c r="G422" i="2" s="1"/>
  <c r="G423" i="2" s="1"/>
  <c r="G424" i="2" s="1"/>
  <c r="G425" i="2" s="1"/>
  <c r="G426" i="2" s="1"/>
  <c r="J416" i="2" s="1"/>
  <c r="J417" i="2" s="1"/>
  <c r="J418" i="2" s="1"/>
  <c r="J419" i="2" s="1"/>
  <c r="J420" i="2" s="1"/>
  <c r="J421" i="2" s="1"/>
  <c r="J422" i="2" s="1"/>
  <c r="J423" i="2" s="1"/>
  <c r="J424" i="2" s="1"/>
  <c r="J425" i="2" s="1"/>
  <c r="J426" i="2" s="1"/>
  <c r="M416" i="2" s="1"/>
  <c r="M417" i="2" s="1"/>
  <c r="M418" i="2" s="1"/>
  <c r="M419" i="2" s="1"/>
  <c r="M420" i="2" s="1"/>
  <c r="M421" i="2" s="1"/>
  <c r="M422" i="2" s="1"/>
  <c r="M423" i="2" s="1"/>
  <c r="M424" i="2" s="1"/>
  <c r="M425" i="2" s="1"/>
  <c r="M426" i="2" s="1"/>
  <c r="P416" i="2" s="1"/>
  <c r="P417" i="2" s="1"/>
  <c r="P418" i="2" s="1"/>
  <c r="P419" i="2" s="1"/>
  <c r="P420" i="2" s="1"/>
  <c r="P421" i="2" s="1"/>
  <c r="P422" i="2" s="1"/>
  <c r="P423" i="2" s="1"/>
  <c r="P424" i="2" s="1"/>
  <c r="P425" i="2" s="1"/>
  <c r="P426" i="2" s="1"/>
  <c r="S416" i="2" s="1"/>
  <c r="S417" i="2" s="1"/>
  <c r="S418" i="2" s="1"/>
  <c r="S419" i="2" s="1"/>
  <c r="S420" i="2" s="1"/>
  <c r="S421" i="2" s="1"/>
  <c r="S422" i="2" s="1"/>
  <c r="S423" i="2" s="1"/>
  <c r="S424" i="2" s="1"/>
  <c r="S425" i="2" s="1"/>
  <c r="S426" i="2" s="1"/>
  <c r="V416" i="2" s="1"/>
  <c r="V417" i="2" s="1"/>
  <c r="V418" i="2" s="1"/>
  <c r="V419" i="2" s="1"/>
  <c r="V420" i="2" s="1"/>
  <c r="V421" i="2" s="1"/>
  <c r="V422" i="2" s="1"/>
  <c r="V423" i="2" s="1"/>
  <c r="V424" i="2" s="1"/>
  <c r="V425" i="2" s="1"/>
  <c r="V426" i="2" s="1"/>
  <c r="D428" i="2" s="1"/>
  <c r="D429" i="2" s="1"/>
  <c r="D430" i="2" s="1"/>
  <c r="D431" i="2" s="1"/>
  <c r="D432" i="2" s="1"/>
  <c r="D433" i="2" s="1"/>
  <c r="D434" i="2" s="1"/>
  <c r="D435" i="2" s="1"/>
  <c r="D436" i="2" s="1"/>
  <c r="D437" i="2" s="1"/>
  <c r="D438" i="2" s="1"/>
  <c r="G428" i="2" s="1"/>
  <c r="G429" i="2" s="1"/>
  <c r="G430" i="2" s="1"/>
  <c r="G431" i="2" s="1"/>
  <c r="G432" i="2" s="1"/>
  <c r="G433" i="2" s="1"/>
  <c r="G434" i="2" s="1"/>
  <c r="G435" i="2" s="1"/>
  <c r="G436" i="2" s="1"/>
  <c r="G437" i="2" s="1"/>
  <c r="G438" i="2" s="1"/>
  <c r="J428" i="2" s="1"/>
  <c r="J429" i="2" s="1"/>
  <c r="J430" i="2" s="1"/>
  <c r="J431" i="2" s="1"/>
  <c r="J432" i="2" s="1"/>
  <c r="J433" i="2" s="1"/>
  <c r="J434" i="2" s="1"/>
  <c r="J435" i="2" s="1"/>
  <c r="J436" i="2" s="1"/>
  <c r="J437" i="2" s="1"/>
  <c r="J438" i="2" s="1"/>
  <c r="M428" i="2" s="1"/>
  <c r="M429" i="2" s="1"/>
  <c r="M430" i="2" s="1"/>
  <c r="M431" i="2" s="1"/>
  <c r="M432" i="2" s="1"/>
  <c r="M433" i="2" s="1"/>
  <c r="M434" i="2" s="1"/>
  <c r="M435" i="2" s="1"/>
  <c r="M436" i="2" s="1"/>
  <c r="M437" i="2" s="1"/>
  <c r="M438" i="2" s="1"/>
  <c r="P428" i="2" s="1"/>
  <c r="P429" i="2" s="1"/>
  <c r="P430" i="2" s="1"/>
  <c r="P431" i="2" s="1"/>
  <c r="P432" i="2" s="1"/>
  <c r="P433" i="2" s="1"/>
  <c r="P434" i="2" s="1"/>
  <c r="P435" i="2" s="1"/>
  <c r="P436" i="2" s="1"/>
  <c r="P437" i="2" s="1"/>
  <c r="P438" i="2" s="1"/>
  <c r="S428" i="2" s="1"/>
  <c r="S429" i="2" s="1"/>
  <c r="S430" i="2" s="1"/>
  <c r="S431" i="2" s="1"/>
  <c r="S432" i="2" s="1"/>
  <c r="S433" i="2" s="1"/>
  <c r="S434" i="2" s="1"/>
  <c r="S435" i="2" s="1"/>
  <c r="S436" i="2" s="1"/>
  <c r="S437" i="2" s="1"/>
  <c r="S438" i="2" s="1"/>
  <c r="V428" i="2" s="1"/>
  <c r="V429" i="2" s="1"/>
  <c r="V430" i="2" s="1"/>
  <c r="V431" i="2" s="1"/>
  <c r="V432" i="2" s="1"/>
  <c r="V433" i="2" s="1"/>
  <c r="V434" i="2" s="1"/>
  <c r="V435" i="2" s="1"/>
  <c r="V436" i="2" s="1"/>
  <c r="V437" i="2" s="1"/>
  <c r="V438" i="2" s="1"/>
  <c r="D440" i="2" s="1"/>
  <c r="D441" i="2" s="1"/>
  <c r="D442" i="2" s="1"/>
  <c r="D443" i="2" s="1"/>
  <c r="D444" i="2" s="1"/>
  <c r="D445" i="2" s="1"/>
  <c r="D446" i="2" s="1"/>
  <c r="D447" i="2" s="1"/>
  <c r="D448" i="2" s="1"/>
  <c r="D449" i="2" s="1"/>
  <c r="D450" i="2" s="1"/>
  <c r="G440" i="2" s="1"/>
  <c r="G441" i="2" s="1"/>
  <c r="G442" i="2" s="1"/>
  <c r="G443" i="2" s="1"/>
  <c r="G444" i="2" s="1"/>
  <c r="G445" i="2" s="1"/>
  <c r="G446" i="2" s="1"/>
  <c r="G447" i="2" s="1"/>
  <c r="G448" i="2" s="1"/>
  <c r="G449" i="2" s="1"/>
  <c r="G450" i="2" s="1"/>
  <c r="J440" i="2" s="1"/>
  <c r="J441" i="2" s="1"/>
  <c r="J442" i="2" s="1"/>
  <c r="J443" i="2" s="1"/>
  <c r="J444" i="2" s="1"/>
  <c r="J445" i="2" s="1"/>
  <c r="J446" i="2" s="1"/>
  <c r="J447" i="2" s="1"/>
  <c r="J448" i="2" s="1"/>
  <c r="J449" i="2" s="1"/>
  <c r="J450" i="2" s="1"/>
  <c r="M440" i="2" s="1"/>
  <c r="M441" i="2" s="1"/>
  <c r="M442" i="2" s="1"/>
  <c r="M443" i="2" s="1"/>
  <c r="M444" i="2" s="1"/>
  <c r="M445" i="2" s="1"/>
  <c r="M446" i="2" s="1"/>
  <c r="M447" i="2" s="1"/>
  <c r="M448" i="2" s="1"/>
  <c r="M449" i="2" s="1"/>
  <c r="M450" i="2" s="1"/>
  <c r="P440" i="2" s="1"/>
  <c r="P441" i="2" s="1"/>
  <c r="P442" i="2" s="1"/>
  <c r="P443" i="2" s="1"/>
  <c r="P444" i="2" s="1"/>
  <c r="P445" i="2" s="1"/>
  <c r="P446" i="2" s="1"/>
  <c r="P447" i="2" s="1"/>
  <c r="P448" i="2" s="1"/>
  <c r="P449" i="2" s="1"/>
  <c r="P450" i="2" s="1"/>
  <c r="S440" i="2" s="1"/>
  <c r="S441" i="2" s="1"/>
  <c r="S442" i="2" s="1"/>
  <c r="S443" i="2" s="1"/>
  <c r="S444" i="2" s="1"/>
  <c r="S445" i="2" s="1"/>
  <c r="S446" i="2" s="1"/>
  <c r="S447" i="2" s="1"/>
  <c r="S448" i="2" s="1"/>
  <c r="S449" i="2" s="1"/>
  <c r="S450" i="2" s="1"/>
  <c r="V440" i="2" s="1"/>
  <c r="V441" i="2" s="1"/>
  <c r="V442" i="2" s="1"/>
  <c r="V443" i="2" s="1"/>
  <c r="V444" i="2" s="1"/>
  <c r="V445" i="2" s="1"/>
  <c r="V446" i="2" s="1"/>
  <c r="V447" i="2" s="1"/>
  <c r="V448" i="2" s="1"/>
  <c r="V449" i="2" s="1"/>
  <c r="V450" i="2" s="1"/>
  <c r="D452" i="2" s="1"/>
  <c r="D453" i="2" s="1"/>
  <c r="D454" i="2" s="1"/>
  <c r="D455" i="2" s="1"/>
  <c r="D456" i="2" s="1"/>
  <c r="D457" i="2" s="1"/>
  <c r="D458" i="2" s="1"/>
  <c r="D459" i="2" s="1"/>
  <c r="D460" i="2" s="1"/>
  <c r="D461" i="2" s="1"/>
  <c r="D462" i="2" s="1"/>
  <c r="G452" i="2" s="1"/>
  <c r="G453" i="2" s="1"/>
  <c r="G454" i="2" s="1"/>
  <c r="G455" i="2" s="1"/>
  <c r="G456" i="2" s="1"/>
  <c r="G457" i="2" s="1"/>
  <c r="G458" i="2" s="1"/>
  <c r="G459" i="2" s="1"/>
  <c r="G460" i="2" s="1"/>
  <c r="G461" i="2" s="1"/>
  <c r="G462" i="2" s="1"/>
  <c r="J452" i="2" s="1"/>
  <c r="J453" i="2" s="1"/>
  <c r="J454" i="2" s="1"/>
  <c r="J455" i="2" s="1"/>
  <c r="J456" i="2" s="1"/>
  <c r="J457" i="2" s="1"/>
  <c r="J458" i="2" s="1"/>
  <c r="J459" i="2" s="1"/>
  <c r="J460" i="2" s="1"/>
  <c r="J461" i="2" s="1"/>
  <c r="J462" i="2" s="1"/>
  <c r="M452" i="2" s="1"/>
  <c r="M453" i="2" s="1"/>
  <c r="M454" i="2" s="1"/>
  <c r="M455" i="2" s="1"/>
  <c r="M456" i="2" s="1"/>
  <c r="M457" i="2" s="1"/>
  <c r="M458" i="2" s="1"/>
  <c r="M459" i="2" s="1"/>
  <c r="M460" i="2" s="1"/>
  <c r="M461" i="2" s="1"/>
  <c r="M462" i="2" s="1"/>
  <c r="P452" i="2" s="1"/>
  <c r="P453" i="2" s="1"/>
  <c r="P454" i="2" s="1"/>
  <c r="P455" i="2" s="1"/>
  <c r="P456" i="2" s="1"/>
  <c r="P457" i="2" s="1"/>
  <c r="P458" i="2" s="1"/>
  <c r="P459" i="2" s="1"/>
  <c r="P460" i="2" s="1"/>
  <c r="P461" i="2" s="1"/>
  <c r="P462" i="2" s="1"/>
  <c r="S452" i="2" s="1"/>
  <c r="S453" i="2" s="1"/>
  <c r="S454" i="2" s="1"/>
  <c r="S455" i="2" s="1"/>
  <c r="S456" i="2" s="1"/>
  <c r="S457" i="2" s="1"/>
  <c r="S458" i="2" s="1"/>
  <c r="S459" i="2" s="1"/>
  <c r="S460" i="2" s="1"/>
  <c r="S461" i="2" s="1"/>
  <c r="S462" i="2" s="1"/>
  <c r="V452" i="2" s="1"/>
  <c r="V453" i="2" s="1"/>
  <c r="V454" i="2" s="1"/>
  <c r="V455" i="2" s="1"/>
  <c r="V456" i="2" s="1"/>
  <c r="V457" i="2" s="1"/>
  <c r="V458" i="2" s="1"/>
  <c r="V459" i="2" s="1"/>
  <c r="V460" i="2" s="1"/>
  <c r="V461" i="2" s="1"/>
  <c r="V462" i="2" s="1"/>
  <c r="D464" i="2" s="1"/>
  <c r="D465" i="2" s="1"/>
  <c r="D466" i="2" s="1"/>
  <c r="D467" i="2" s="1"/>
  <c r="D468" i="2" s="1"/>
  <c r="D469" i="2" s="1"/>
  <c r="D470" i="2" s="1"/>
  <c r="D471" i="2" s="1"/>
  <c r="D472" i="2" s="1"/>
  <c r="D473" i="2" s="1"/>
  <c r="D474" i="2" s="1"/>
  <c r="G464" i="2" s="1"/>
  <c r="G465" i="2" s="1"/>
  <c r="G466" i="2" s="1"/>
  <c r="G467" i="2" s="1"/>
  <c r="G468" i="2" s="1"/>
  <c r="G469" i="2" s="1"/>
  <c r="G470" i="2" s="1"/>
  <c r="G471" i="2" s="1"/>
  <c r="G472" i="2" s="1"/>
  <c r="G473" i="2" s="1"/>
  <c r="G474" i="2" s="1"/>
  <c r="J464" i="2" s="1"/>
  <c r="J465" i="2" s="1"/>
  <c r="J466" i="2" s="1"/>
  <c r="J467" i="2" s="1"/>
  <c r="J468" i="2" s="1"/>
  <c r="J469" i="2" s="1"/>
  <c r="J470" i="2" s="1"/>
  <c r="J471" i="2" s="1"/>
  <c r="J472" i="2" s="1"/>
  <c r="J473" i="2" s="1"/>
  <c r="J474" i="2" s="1"/>
  <c r="M464" i="2" s="1"/>
  <c r="M465" i="2" s="1"/>
  <c r="M466" i="2" s="1"/>
  <c r="M467" i="2" s="1"/>
  <c r="M468" i="2" s="1"/>
  <c r="M469" i="2" s="1"/>
  <c r="M470" i="2" s="1"/>
  <c r="M471" i="2" s="1"/>
  <c r="M472" i="2" s="1"/>
  <c r="M473" i="2" s="1"/>
  <c r="M474" i="2" s="1"/>
  <c r="P464" i="2" s="1"/>
  <c r="P465" i="2" s="1"/>
  <c r="P466" i="2" s="1"/>
  <c r="P467" i="2" s="1"/>
  <c r="P468" i="2" s="1"/>
  <c r="P469" i="2" s="1"/>
  <c r="P470" i="2" s="1"/>
  <c r="P471" i="2" s="1"/>
  <c r="P472" i="2" s="1"/>
  <c r="P473" i="2" s="1"/>
  <c r="P474" i="2" s="1"/>
  <c r="S464" i="2" s="1"/>
  <c r="S465" i="2" s="1"/>
  <c r="S466" i="2" s="1"/>
  <c r="S467" i="2" s="1"/>
  <c r="S468" i="2" s="1"/>
  <c r="S469" i="2" s="1"/>
  <c r="S470" i="2" s="1"/>
  <c r="S471" i="2" s="1"/>
  <c r="S472" i="2" s="1"/>
  <c r="S473" i="2" s="1"/>
  <c r="S474" i="2" s="1"/>
  <c r="V464" i="2" s="1"/>
  <c r="V465" i="2" s="1"/>
  <c r="V466" i="2" s="1"/>
  <c r="V467" i="2" s="1"/>
  <c r="V468" i="2" s="1"/>
  <c r="V469" i="2" s="1"/>
  <c r="V470" i="2" s="1"/>
  <c r="V471" i="2" s="1"/>
  <c r="V472" i="2" s="1"/>
  <c r="V473" i="2" s="1"/>
  <c r="V474" i="2" s="1"/>
  <c r="D476" i="2" s="1"/>
  <c r="D477" i="2" s="1"/>
  <c r="D478" i="2" s="1"/>
  <c r="D479" i="2" s="1"/>
  <c r="D480" i="2" s="1"/>
  <c r="D481" i="2" s="1"/>
  <c r="D482" i="2" s="1"/>
  <c r="D483" i="2" s="1"/>
  <c r="D484" i="2" s="1"/>
  <c r="D485" i="2" s="1"/>
  <c r="D486" i="2" s="1"/>
  <c r="G476" i="2" s="1"/>
  <c r="G477" i="2" s="1"/>
  <c r="G478" i="2" s="1"/>
  <c r="G479" i="2" s="1"/>
  <c r="G480" i="2" s="1"/>
  <c r="G481" i="2" s="1"/>
  <c r="G482" i="2" s="1"/>
  <c r="G483" i="2" s="1"/>
  <c r="G484" i="2" s="1"/>
  <c r="G485" i="2" s="1"/>
  <c r="G486" i="2" s="1"/>
  <c r="J476" i="2" s="1"/>
  <c r="J477" i="2" s="1"/>
  <c r="J478" i="2" s="1"/>
  <c r="J479" i="2" s="1"/>
  <c r="J480" i="2" s="1"/>
  <c r="J481" i="2" s="1"/>
  <c r="J482" i="2" s="1"/>
  <c r="J483" i="2" s="1"/>
  <c r="J484" i="2" s="1"/>
  <c r="J485" i="2" s="1"/>
  <c r="J486" i="2" s="1"/>
  <c r="M476" i="2" s="1"/>
  <c r="M477" i="2" s="1"/>
  <c r="M478" i="2" s="1"/>
  <c r="M479" i="2" s="1"/>
  <c r="M480" i="2" s="1"/>
  <c r="M481" i="2" s="1"/>
  <c r="M482" i="2" s="1"/>
  <c r="M483" i="2" s="1"/>
  <c r="M484" i="2" s="1"/>
  <c r="M485" i="2" s="1"/>
  <c r="M486" i="2" s="1"/>
  <c r="P476" i="2" s="1"/>
  <c r="P477" i="2" s="1"/>
  <c r="P478" i="2" s="1"/>
  <c r="P479" i="2" s="1"/>
  <c r="P480" i="2" s="1"/>
  <c r="P481" i="2" s="1"/>
  <c r="P482" i="2" s="1"/>
  <c r="P483" i="2" s="1"/>
  <c r="P484" i="2" s="1"/>
  <c r="P485" i="2" s="1"/>
  <c r="P486" i="2" s="1"/>
  <c r="S476" i="2" s="1"/>
  <c r="S477" i="2" s="1"/>
  <c r="S478" i="2" s="1"/>
  <c r="S479" i="2" s="1"/>
  <c r="S480" i="2" s="1"/>
  <c r="S481" i="2" s="1"/>
  <c r="S482" i="2" s="1"/>
  <c r="S483" i="2" s="1"/>
  <c r="S484" i="2" s="1"/>
  <c r="S485" i="2" s="1"/>
  <c r="S486" i="2" s="1"/>
  <c r="V476" i="2" s="1"/>
  <c r="V477" i="2" s="1"/>
  <c r="V478" i="2" s="1"/>
  <c r="V479" i="2" s="1"/>
  <c r="V480" i="2" s="1"/>
  <c r="V481" i="2" s="1"/>
  <c r="V482" i="2" s="1"/>
  <c r="V483" i="2" s="1"/>
  <c r="V484" i="2" s="1"/>
  <c r="V485" i="2" s="1"/>
  <c r="V486" i="2" s="1"/>
  <c r="D488" i="2" s="1"/>
  <c r="D489" i="2" s="1"/>
  <c r="D490" i="2" s="1"/>
  <c r="D491" i="2" s="1"/>
  <c r="D492" i="2" s="1"/>
  <c r="D493" i="2" s="1"/>
  <c r="D494" i="2" s="1"/>
  <c r="D495" i="2" s="1"/>
  <c r="D496" i="2" s="1"/>
  <c r="D497" i="2" s="1"/>
  <c r="D498" i="2" s="1"/>
  <c r="G488" i="2" s="1"/>
  <c r="G489" i="2" s="1"/>
  <c r="G490" i="2" s="1"/>
  <c r="G491" i="2" s="1"/>
  <c r="G492" i="2" s="1"/>
  <c r="G493" i="2" s="1"/>
  <c r="G494" i="2" s="1"/>
  <c r="G495" i="2" s="1"/>
  <c r="G496" i="2" s="1"/>
  <c r="G497" i="2" s="1"/>
  <c r="G498" i="2" s="1"/>
  <c r="J488" i="2" s="1"/>
  <c r="J489" i="2" s="1"/>
  <c r="J490" i="2" s="1"/>
  <c r="J491" i="2" s="1"/>
  <c r="J492" i="2" s="1"/>
  <c r="J493" i="2" s="1"/>
  <c r="J494" i="2" s="1"/>
  <c r="J495" i="2" s="1"/>
  <c r="J496" i="2" s="1"/>
  <c r="J497" i="2" s="1"/>
  <c r="J498" i="2" s="1"/>
  <c r="M488" i="2" s="1"/>
  <c r="M489" i="2" s="1"/>
  <c r="M490" i="2" s="1"/>
  <c r="M491" i="2" s="1"/>
  <c r="M492" i="2" s="1"/>
  <c r="M493" i="2" s="1"/>
  <c r="M494" i="2" s="1"/>
  <c r="M495" i="2" s="1"/>
  <c r="M496" i="2" s="1"/>
  <c r="M497" i="2" s="1"/>
  <c r="M498" i="2" s="1"/>
  <c r="P488" i="2" s="1"/>
  <c r="P489" i="2" s="1"/>
  <c r="P490" i="2" s="1"/>
  <c r="P491" i="2" s="1"/>
  <c r="P492" i="2" s="1"/>
  <c r="P493" i="2" s="1"/>
  <c r="P494" i="2" s="1"/>
  <c r="P495" i="2" s="1"/>
  <c r="P496" i="2" s="1"/>
  <c r="P497" i="2" s="1"/>
  <c r="P498" i="2" s="1"/>
  <c r="S488" i="2" s="1"/>
  <c r="S489" i="2" s="1"/>
  <c r="S490" i="2" s="1"/>
  <c r="S491" i="2" s="1"/>
  <c r="S492" i="2" s="1"/>
  <c r="S493" i="2" s="1"/>
  <c r="S494" i="2" s="1"/>
  <c r="S495" i="2" s="1"/>
  <c r="S496" i="2" s="1"/>
  <c r="S497" i="2" s="1"/>
  <c r="S498" i="2" s="1"/>
  <c r="V488" i="2" s="1"/>
  <c r="V489" i="2" s="1"/>
  <c r="V490" i="2" s="1"/>
  <c r="V491" i="2" s="1"/>
  <c r="V492" i="2" s="1"/>
  <c r="V493" i="2" s="1"/>
  <c r="V494" i="2" s="1"/>
  <c r="V495" i="2" s="1"/>
  <c r="V496" i="2" s="1"/>
  <c r="V497" i="2" s="1"/>
  <c r="V498" i="2" s="1"/>
  <c r="D500" i="2" s="1"/>
  <c r="D501" i="2" s="1"/>
  <c r="D502" i="2" s="1"/>
  <c r="D503" i="2" s="1"/>
  <c r="D504" i="2" s="1"/>
  <c r="D505" i="2" s="1"/>
  <c r="D506" i="2" s="1"/>
  <c r="D507" i="2" s="1"/>
  <c r="D508" i="2" s="1"/>
  <c r="D509" i="2" s="1"/>
  <c r="D510" i="2" s="1"/>
  <c r="G500" i="2" s="1"/>
  <c r="G501" i="2" s="1"/>
  <c r="G502" i="2" s="1"/>
  <c r="G503" i="2" s="1"/>
  <c r="G504" i="2" s="1"/>
  <c r="G505" i="2" s="1"/>
  <c r="G506" i="2" s="1"/>
  <c r="G507" i="2" s="1"/>
  <c r="G508" i="2" s="1"/>
  <c r="G509" i="2" s="1"/>
  <c r="G510" i="2" s="1"/>
  <c r="J500" i="2" s="1"/>
  <c r="J501" i="2" s="1"/>
  <c r="J502" i="2" s="1"/>
  <c r="J503" i="2" s="1"/>
  <c r="J504" i="2" s="1"/>
  <c r="J505" i="2" s="1"/>
  <c r="J506" i="2" s="1"/>
  <c r="J507" i="2" s="1"/>
  <c r="J508" i="2" s="1"/>
  <c r="J509" i="2" s="1"/>
  <c r="J510" i="2" s="1"/>
  <c r="M500" i="2" s="1"/>
  <c r="M501" i="2" s="1"/>
  <c r="M502" i="2" s="1"/>
  <c r="M503" i="2" s="1"/>
  <c r="M504" i="2" s="1"/>
  <c r="M505" i="2" s="1"/>
  <c r="M506" i="2" s="1"/>
  <c r="M507" i="2" s="1"/>
  <c r="M508" i="2" s="1"/>
  <c r="M509" i="2" s="1"/>
  <c r="M510" i="2" s="1"/>
  <c r="P500" i="2" s="1"/>
  <c r="P501" i="2" s="1"/>
  <c r="P502" i="2" s="1"/>
  <c r="P503" i="2" s="1"/>
  <c r="P504" i="2" s="1"/>
  <c r="P505" i="2" s="1"/>
  <c r="P506" i="2" s="1"/>
  <c r="P507" i="2" s="1"/>
  <c r="P508" i="2" s="1"/>
  <c r="P509" i="2" s="1"/>
  <c r="P510" i="2" s="1"/>
  <c r="S500" i="2" s="1"/>
  <c r="S501" i="2" s="1"/>
  <c r="S502" i="2" s="1"/>
  <c r="S503" i="2" s="1"/>
  <c r="S504" i="2" s="1"/>
  <c r="S505" i="2" s="1"/>
  <c r="S506" i="2" s="1"/>
  <c r="S507" i="2" s="1"/>
  <c r="S508" i="2" s="1"/>
  <c r="S509" i="2" s="1"/>
  <c r="S510" i="2" s="1"/>
  <c r="V500" i="2" s="1"/>
  <c r="V501" i="2" s="1"/>
  <c r="V502" i="2" s="1"/>
  <c r="V503" i="2" s="1"/>
  <c r="V504" i="2" s="1"/>
  <c r="V505" i="2" s="1"/>
  <c r="V506" i="2" s="1"/>
  <c r="V507" i="2" s="1"/>
  <c r="V508" i="2" s="1"/>
  <c r="V509" i="2" s="1"/>
  <c r="V510" i="2" s="1"/>
  <c r="D512" i="2" s="1"/>
  <c r="D513" i="2" s="1"/>
  <c r="D514" i="2" s="1"/>
  <c r="D515" i="2" s="1"/>
  <c r="D516" i="2" s="1"/>
  <c r="D517" i="2" s="1"/>
  <c r="D518" i="2" s="1"/>
  <c r="D519" i="2" s="1"/>
  <c r="D520" i="2" s="1"/>
  <c r="D521" i="2" s="1"/>
  <c r="D522" i="2" s="1"/>
  <c r="G512" i="2" s="1"/>
  <c r="G513" i="2" s="1"/>
  <c r="G514" i="2" s="1"/>
  <c r="G515" i="2" s="1"/>
  <c r="G516" i="2" s="1"/>
  <c r="G517" i="2" s="1"/>
  <c r="G518" i="2" s="1"/>
  <c r="G519" i="2" s="1"/>
  <c r="G520" i="2" s="1"/>
  <c r="G521" i="2" s="1"/>
  <c r="G522" i="2" s="1"/>
  <c r="J512" i="2" s="1"/>
  <c r="J513" i="2" s="1"/>
  <c r="J514" i="2" s="1"/>
  <c r="J515" i="2" s="1"/>
  <c r="J516" i="2" s="1"/>
  <c r="J517" i="2" s="1"/>
  <c r="J518" i="2" s="1"/>
  <c r="J519" i="2" s="1"/>
  <c r="J520" i="2" s="1"/>
  <c r="J521" i="2" s="1"/>
  <c r="J522" i="2" s="1"/>
  <c r="M512" i="2" s="1"/>
  <c r="M513" i="2" s="1"/>
  <c r="M514" i="2" s="1"/>
  <c r="M515" i="2" s="1"/>
  <c r="M516" i="2" s="1"/>
  <c r="M517" i="2" s="1"/>
  <c r="M518" i="2" s="1"/>
  <c r="M519" i="2" s="1"/>
  <c r="M520" i="2" s="1"/>
  <c r="M521" i="2" s="1"/>
  <c r="M522" i="2" s="1"/>
  <c r="P512" i="2" s="1"/>
  <c r="P513" i="2" s="1"/>
  <c r="P514" i="2" s="1"/>
  <c r="P515" i="2" s="1"/>
  <c r="P516" i="2" s="1"/>
  <c r="P517" i="2" s="1"/>
  <c r="P518" i="2" s="1"/>
  <c r="P519" i="2" s="1"/>
  <c r="P520" i="2" s="1"/>
  <c r="P521" i="2" s="1"/>
  <c r="P522" i="2" s="1"/>
  <c r="S512" i="2" s="1"/>
  <c r="S513" i="2" s="1"/>
  <c r="S514" i="2" s="1"/>
  <c r="S515" i="2" s="1"/>
  <c r="S516" i="2" s="1"/>
  <c r="S517" i="2" s="1"/>
  <c r="S518" i="2" s="1"/>
  <c r="S519" i="2" s="1"/>
  <c r="S520" i="2" s="1"/>
  <c r="S521" i="2" s="1"/>
  <c r="S522" i="2" s="1"/>
  <c r="V512" i="2" s="1"/>
  <c r="V513" i="2" s="1"/>
  <c r="V514" i="2" s="1"/>
  <c r="V515" i="2" s="1"/>
  <c r="V516" i="2" s="1"/>
  <c r="V517" i="2" s="1"/>
  <c r="V518" i="2" s="1"/>
  <c r="V519" i="2" s="1"/>
  <c r="V520" i="2" s="1"/>
  <c r="V521" i="2" s="1"/>
  <c r="V522" i="2" s="1"/>
  <c r="D524" i="2" s="1"/>
  <c r="D525" i="2" s="1"/>
  <c r="D526" i="2" s="1"/>
  <c r="D527" i="2" s="1"/>
  <c r="D528" i="2" s="1"/>
  <c r="D529" i="2" s="1"/>
  <c r="D530" i="2" s="1"/>
  <c r="D531" i="2" s="1"/>
  <c r="D532" i="2" s="1"/>
  <c r="D533" i="2" s="1"/>
  <c r="D534" i="2" s="1"/>
  <c r="G524" i="2" s="1"/>
  <c r="G525" i="2" s="1"/>
  <c r="G526" i="2" s="1"/>
  <c r="G527" i="2" s="1"/>
  <c r="G528" i="2" s="1"/>
  <c r="G529" i="2" s="1"/>
  <c r="G530" i="2" s="1"/>
  <c r="G531" i="2" s="1"/>
  <c r="G532" i="2" s="1"/>
  <c r="G533" i="2" s="1"/>
  <c r="G534" i="2" s="1"/>
  <c r="J524" i="2" s="1"/>
  <c r="J525" i="2" s="1"/>
  <c r="J526" i="2" s="1"/>
  <c r="J527" i="2" s="1"/>
  <c r="J528" i="2" s="1"/>
  <c r="J529" i="2" s="1"/>
  <c r="J530" i="2" s="1"/>
  <c r="J531" i="2" s="1"/>
  <c r="J532" i="2" s="1"/>
  <c r="J533" i="2" s="1"/>
  <c r="J534" i="2" s="1"/>
  <c r="M524" i="2" s="1"/>
  <c r="M525" i="2" s="1"/>
  <c r="M526" i="2" s="1"/>
  <c r="M527" i="2" s="1"/>
  <c r="M528" i="2" s="1"/>
  <c r="M529" i="2" s="1"/>
  <c r="M530" i="2" s="1"/>
  <c r="M531" i="2" s="1"/>
  <c r="M532" i="2" s="1"/>
  <c r="M533" i="2" s="1"/>
  <c r="M534" i="2" s="1"/>
  <c r="P524" i="2" s="1"/>
  <c r="P525" i="2" s="1"/>
  <c r="P526" i="2" s="1"/>
  <c r="P527" i="2" s="1"/>
  <c r="P528" i="2" s="1"/>
  <c r="P529" i="2" s="1"/>
  <c r="P530" i="2" s="1"/>
  <c r="P531" i="2" s="1"/>
  <c r="P532" i="2" s="1"/>
  <c r="P533" i="2" s="1"/>
  <c r="P534" i="2" s="1"/>
  <c r="S524" i="2" s="1"/>
  <c r="S525" i="2" s="1"/>
  <c r="S526" i="2" s="1"/>
  <c r="S527" i="2" s="1"/>
  <c r="S528" i="2" s="1"/>
  <c r="S529" i="2" s="1"/>
  <c r="S530" i="2" s="1"/>
  <c r="S531" i="2" s="1"/>
  <c r="S532" i="2" s="1"/>
  <c r="S533" i="2" s="1"/>
  <c r="S534" i="2" s="1"/>
  <c r="V524" i="2" s="1"/>
  <c r="V525" i="2" s="1"/>
  <c r="V526" i="2" s="1"/>
  <c r="V527" i="2" s="1"/>
  <c r="V528" i="2" s="1"/>
  <c r="V529" i="2" s="1"/>
  <c r="V530" i="2" s="1"/>
  <c r="V531" i="2" s="1"/>
  <c r="V532" i="2" s="1"/>
  <c r="V533" i="2" s="1"/>
  <c r="V534" i="2" s="1"/>
  <c r="D536" i="2" s="1"/>
  <c r="D537" i="2" s="1"/>
  <c r="D538" i="2" s="1"/>
  <c r="D539" i="2" s="1"/>
  <c r="D540" i="2" s="1"/>
  <c r="D541" i="2" s="1"/>
  <c r="D542" i="2" s="1"/>
  <c r="D543" i="2" s="1"/>
  <c r="D544" i="2" s="1"/>
  <c r="D545" i="2" s="1"/>
  <c r="D546" i="2" s="1"/>
  <c r="G536" i="2" s="1"/>
  <c r="G537" i="2" s="1"/>
  <c r="G538" i="2" s="1"/>
  <c r="G539" i="2" s="1"/>
  <c r="G540" i="2" s="1"/>
  <c r="G541" i="2" s="1"/>
  <c r="G542" i="2" s="1"/>
  <c r="G543" i="2" s="1"/>
  <c r="G544" i="2" s="1"/>
  <c r="G545" i="2" s="1"/>
  <c r="G546" i="2" s="1"/>
  <c r="J536" i="2" s="1"/>
  <c r="J537" i="2" s="1"/>
  <c r="J538" i="2" s="1"/>
  <c r="J539" i="2" s="1"/>
  <c r="J540" i="2" s="1"/>
  <c r="J541" i="2" s="1"/>
  <c r="J542" i="2" s="1"/>
  <c r="J543" i="2" s="1"/>
  <c r="J544" i="2" s="1"/>
  <c r="J545" i="2" s="1"/>
  <c r="J546" i="2" s="1"/>
  <c r="M536" i="2" s="1"/>
  <c r="M537" i="2" s="1"/>
  <c r="M538" i="2" s="1"/>
  <c r="M539" i="2" s="1"/>
  <c r="M540" i="2" s="1"/>
  <c r="M541" i="2" s="1"/>
  <c r="M542" i="2" s="1"/>
  <c r="M543" i="2" s="1"/>
  <c r="M544" i="2" s="1"/>
  <c r="M545" i="2" s="1"/>
  <c r="M546" i="2" s="1"/>
  <c r="P536" i="2" s="1"/>
  <c r="P537" i="2" s="1"/>
  <c r="P538" i="2" s="1"/>
  <c r="P539" i="2" s="1"/>
  <c r="P540" i="2" s="1"/>
  <c r="P541" i="2" s="1"/>
  <c r="P542" i="2" s="1"/>
  <c r="P543" i="2" s="1"/>
  <c r="P544" i="2" s="1"/>
  <c r="P545" i="2" s="1"/>
  <c r="P546" i="2" s="1"/>
  <c r="S536" i="2" s="1"/>
  <c r="S537" i="2" s="1"/>
  <c r="S538" i="2" s="1"/>
  <c r="S539" i="2" s="1"/>
  <c r="S540" i="2" s="1"/>
  <c r="S541" i="2" s="1"/>
  <c r="S542" i="2" s="1"/>
  <c r="S543" i="2" s="1"/>
  <c r="S544" i="2" s="1"/>
  <c r="S545" i="2" s="1"/>
  <c r="S546" i="2" s="1"/>
  <c r="V536" i="2" s="1"/>
  <c r="V537" i="2" s="1"/>
  <c r="V538" i="2" s="1"/>
  <c r="V539" i="2" s="1"/>
  <c r="V540" i="2" s="1"/>
  <c r="V541" i="2" s="1"/>
  <c r="V542" i="2" s="1"/>
  <c r="V543" i="2" s="1"/>
  <c r="V544" i="2" s="1"/>
  <c r="V545" i="2" s="1"/>
  <c r="V546" i="2" s="1"/>
  <c r="D548" i="2" s="1"/>
  <c r="D549" i="2" s="1"/>
  <c r="D550" i="2" s="1"/>
  <c r="D551" i="2" s="1"/>
  <c r="D552" i="2" s="1"/>
  <c r="D553" i="2" s="1"/>
  <c r="D554" i="2" s="1"/>
  <c r="D555" i="2" s="1"/>
  <c r="D556" i="2" s="1"/>
  <c r="D557" i="2" s="1"/>
  <c r="D558" i="2" s="1"/>
  <c r="G548" i="2" s="1"/>
  <c r="G549" i="2" s="1"/>
  <c r="G550" i="2" s="1"/>
  <c r="G551" i="2" s="1"/>
  <c r="G552" i="2" s="1"/>
  <c r="G553" i="2" s="1"/>
  <c r="G554" i="2" s="1"/>
  <c r="G555" i="2" s="1"/>
  <c r="G556" i="2" s="1"/>
  <c r="G557" i="2" s="1"/>
  <c r="G558" i="2" s="1"/>
  <c r="J548" i="2" s="1"/>
  <c r="J549" i="2" s="1"/>
  <c r="J550" i="2" s="1"/>
  <c r="J551" i="2" s="1"/>
  <c r="J552" i="2" s="1"/>
  <c r="J553" i="2" s="1"/>
  <c r="J554" i="2" s="1"/>
  <c r="J555" i="2" s="1"/>
  <c r="J556" i="2" s="1"/>
  <c r="J557" i="2" s="1"/>
  <c r="J558" i="2" s="1"/>
  <c r="M548" i="2" s="1"/>
  <c r="M549" i="2" s="1"/>
  <c r="M550" i="2" s="1"/>
  <c r="M551" i="2" s="1"/>
  <c r="M552" i="2" s="1"/>
  <c r="M553" i="2" s="1"/>
  <c r="M554" i="2" s="1"/>
  <c r="M555" i="2" s="1"/>
  <c r="M556" i="2" s="1"/>
  <c r="M557" i="2" s="1"/>
  <c r="M558" i="2" s="1"/>
  <c r="P548" i="2" s="1"/>
  <c r="P549" i="2" s="1"/>
  <c r="P550" i="2" s="1"/>
  <c r="P551" i="2" s="1"/>
  <c r="P552" i="2" s="1"/>
  <c r="P553" i="2" s="1"/>
  <c r="P554" i="2" s="1"/>
  <c r="P555" i="2" s="1"/>
  <c r="P556" i="2" s="1"/>
  <c r="P557" i="2" s="1"/>
  <c r="P558" i="2" s="1"/>
  <c r="S548" i="2" s="1"/>
  <c r="S549" i="2" s="1"/>
  <c r="S550" i="2" s="1"/>
  <c r="S551" i="2" s="1"/>
  <c r="S552" i="2" s="1"/>
  <c r="S553" i="2" s="1"/>
  <c r="S554" i="2" s="1"/>
  <c r="S555" i="2" s="1"/>
  <c r="S556" i="2" s="1"/>
  <c r="S557" i="2" s="1"/>
  <c r="S558" i="2" s="1"/>
  <c r="V548" i="2" s="1"/>
  <c r="V549" i="2" s="1"/>
  <c r="V550" i="2" s="1"/>
  <c r="V551" i="2" s="1"/>
  <c r="V552" i="2" s="1"/>
  <c r="V553" i="2" s="1"/>
  <c r="V554" i="2" s="1"/>
  <c r="V555" i="2" s="1"/>
  <c r="V556" i="2" s="1"/>
  <c r="V557" i="2" s="1"/>
  <c r="V558" i="2" s="1"/>
  <c r="D560" i="2" s="1"/>
  <c r="D561" i="2" s="1"/>
  <c r="D562" i="2" s="1"/>
  <c r="D563" i="2" s="1"/>
  <c r="D564" i="2" s="1"/>
  <c r="D565" i="2" s="1"/>
  <c r="D566" i="2" s="1"/>
  <c r="D567" i="2" s="1"/>
  <c r="D568" i="2" s="1"/>
  <c r="D569" i="2" s="1"/>
  <c r="D570" i="2" s="1"/>
  <c r="G560" i="2" s="1"/>
  <c r="G561" i="2" s="1"/>
  <c r="G562" i="2" s="1"/>
  <c r="G563" i="2" s="1"/>
  <c r="G564" i="2" s="1"/>
  <c r="G565" i="2" s="1"/>
  <c r="G566" i="2" s="1"/>
  <c r="G567" i="2" s="1"/>
  <c r="G568" i="2" s="1"/>
  <c r="G569" i="2" s="1"/>
  <c r="G570" i="2" s="1"/>
  <c r="J560" i="2" s="1"/>
  <c r="J561" i="2" s="1"/>
  <c r="J562" i="2" s="1"/>
  <c r="J563" i="2" s="1"/>
  <c r="J564" i="2" s="1"/>
  <c r="J565" i="2" s="1"/>
  <c r="J566" i="2" s="1"/>
  <c r="J567" i="2" s="1"/>
  <c r="J568" i="2" s="1"/>
  <c r="J569" i="2" s="1"/>
  <c r="J570" i="2" s="1"/>
  <c r="M560" i="2" s="1"/>
  <c r="M561" i="2" s="1"/>
  <c r="M562" i="2" s="1"/>
  <c r="M563" i="2" s="1"/>
  <c r="M564" i="2" s="1"/>
  <c r="M565" i="2" s="1"/>
  <c r="M566" i="2" s="1"/>
  <c r="M567" i="2" s="1"/>
  <c r="M568" i="2" s="1"/>
  <c r="M569" i="2" s="1"/>
  <c r="M570" i="2" s="1"/>
  <c r="P560" i="2" s="1"/>
  <c r="P561" i="2" s="1"/>
  <c r="P562" i="2" s="1"/>
  <c r="P563" i="2" s="1"/>
  <c r="P564" i="2" s="1"/>
  <c r="P565" i="2" s="1"/>
  <c r="P566" i="2" s="1"/>
  <c r="P567" i="2" s="1"/>
  <c r="P568" i="2" s="1"/>
  <c r="P569" i="2" s="1"/>
  <c r="P570" i="2" s="1"/>
  <c r="S560" i="2" s="1"/>
  <c r="S561" i="2" s="1"/>
  <c r="S562" i="2" s="1"/>
  <c r="S563" i="2" s="1"/>
  <c r="S564" i="2" s="1"/>
  <c r="S565" i="2" s="1"/>
  <c r="S566" i="2" s="1"/>
  <c r="S567" i="2" s="1"/>
  <c r="S568" i="2" s="1"/>
  <c r="S569" i="2" s="1"/>
  <c r="S570" i="2" s="1"/>
  <c r="V560" i="2" s="1"/>
  <c r="V561" i="2" s="1"/>
  <c r="V562" i="2" s="1"/>
  <c r="V563" i="2" s="1"/>
  <c r="V564" i="2" s="1"/>
  <c r="V565" i="2" s="1"/>
  <c r="V566" i="2" s="1"/>
  <c r="V567" i="2" s="1"/>
  <c r="V568" i="2" s="1"/>
  <c r="V569" i="2" s="1"/>
  <c r="V570" i="2" s="1"/>
  <c r="D572" i="2" s="1"/>
  <c r="D573" i="2" s="1"/>
  <c r="D574" i="2" s="1"/>
  <c r="D575" i="2" s="1"/>
  <c r="D576" i="2" s="1"/>
  <c r="D577" i="2" s="1"/>
  <c r="D578" i="2" s="1"/>
  <c r="D579" i="2" s="1"/>
  <c r="D580" i="2" s="1"/>
  <c r="D581" i="2" s="1"/>
  <c r="D582" i="2" s="1"/>
  <c r="G572" i="2" s="1"/>
  <c r="G573" i="2" s="1"/>
  <c r="G574" i="2" s="1"/>
  <c r="G575" i="2" s="1"/>
  <c r="G576" i="2" s="1"/>
  <c r="G577" i="2" s="1"/>
  <c r="G578" i="2" s="1"/>
  <c r="G579" i="2" s="1"/>
  <c r="G580" i="2" s="1"/>
  <c r="G581" i="2" s="1"/>
  <c r="G582" i="2" s="1"/>
  <c r="J572" i="2" s="1"/>
  <c r="J573" i="2" s="1"/>
  <c r="J574" i="2" s="1"/>
  <c r="J575" i="2" s="1"/>
  <c r="J576" i="2" s="1"/>
  <c r="J577" i="2" s="1"/>
  <c r="J578" i="2" s="1"/>
  <c r="J579" i="2" s="1"/>
  <c r="J580" i="2" s="1"/>
  <c r="J581" i="2" s="1"/>
  <c r="J582" i="2" s="1"/>
  <c r="M572" i="2" s="1"/>
  <c r="M573" i="2" s="1"/>
  <c r="M574" i="2" s="1"/>
  <c r="M575" i="2" s="1"/>
  <c r="M576" i="2" s="1"/>
  <c r="M577" i="2" s="1"/>
  <c r="M578" i="2" s="1"/>
  <c r="M579" i="2" s="1"/>
  <c r="M580" i="2" s="1"/>
  <c r="M581" i="2" s="1"/>
  <c r="M582" i="2" s="1"/>
  <c r="P572" i="2" s="1"/>
  <c r="P573" i="2" s="1"/>
  <c r="P574" i="2" s="1"/>
  <c r="P575" i="2" s="1"/>
  <c r="P576" i="2" s="1"/>
  <c r="P577" i="2" s="1"/>
  <c r="P578" i="2" s="1"/>
  <c r="P579" i="2" s="1"/>
  <c r="P580" i="2" s="1"/>
  <c r="P581" i="2" s="1"/>
  <c r="P582" i="2" s="1"/>
  <c r="S572" i="2" s="1"/>
  <c r="S573" i="2" s="1"/>
  <c r="S574" i="2" s="1"/>
  <c r="S575" i="2" s="1"/>
  <c r="S576" i="2" s="1"/>
  <c r="S577" i="2" s="1"/>
  <c r="S578" i="2" s="1"/>
  <c r="S579" i="2" s="1"/>
  <c r="S580" i="2" s="1"/>
  <c r="S581" i="2" s="1"/>
  <c r="S582" i="2" s="1"/>
  <c r="V572" i="2" s="1"/>
  <c r="V573" i="2" s="1"/>
  <c r="V574" i="2" s="1"/>
  <c r="V575" i="2" s="1"/>
  <c r="V576" i="2" s="1"/>
  <c r="V577" i="2" s="1"/>
  <c r="V578" i="2" s="1"/>
  <c r="V579" i="2" s="1"/>
  <c r="V580" i="2" s="1"/>
  <c r="V581" i="2" s="1"/>
  <c r="V582" i="2" s="1"/>
  <c r="D584" i="2" s="1"/>
  <c r="D585" i="2" s="1"/>
  <c r="D586" i="2" s="1"/>
  <c r="D587" i="2" s="1"/>
  <c r="D588" i="2" s="1"/>
  <c r="D589" i="2" s="1"/>
  <c r="D590" i="2" s="1"/>
  <c r="D591" i="2" s="1"/>
  <c r="D592" i="2" s="1"/>
  <c r="D593" i="2" s="1"/>
  <c r="D594" i="2" s="1"/>
  <c r="G584" i="2" s="1"/>
  <c r="G585" i="2" s="1"/>
  <c r="G586" i="2" s="1"/>
  <c r="G587" i="2" s="1"/>
  <c r="G588" i="2" s="1"/>
  <c r="G589" i="2" s="1"/>
  <c r="G590" i="2" s="1"/>
  <c r="G591" i="2" s="1"/>
  <c r="G592" i="2" s="1"/>
  <c r="G593" i="2" s="1"/>
  <c r="G594" i="2" s="1"/>
  <c r="J584" i="2" s="1"/>
  <c r="J585" i="2" s="1"/>
  <c r="J586" i="2" s="1"/>
  <c r="J587" i="2" s="1"/>
  <c r="J588" i="2" s="1"/>
  <c r="J589" i="2" s="1"/>
  <c r="J590" i="2" s="1"/>
  <c r="J591" i="2" s="1"/>
  <c r="J592" i="2" s="1"/>
  <c r="J593" i="2" s="1"/>
  <c r="J594" i="2" s="1"/>
  <c r="M584" i="2" s="1"/>
  <c r="M585" i="2" s="1"/>
  <c r="M586" i="2" s="1"/>
  <c r="M587" i="2" s="1"/>
  <c r="M588" i="2" s="1"/>
  <c r="M589" i="2" s="1"/>
  <c r="M590" i="2" s="1"/>
  <c r="M591" i="2" s="1"/>
  <c r="M592" i="2" s="1"/>
  <c r="M593" i="2" s="1"/>
  <c r="M594" i="2" s="1"/>
  <c r="P584" i="2" s="1"/>
  <c r="P585" i="2" s="1"/>
  <c r="P586" i="2" s="1"/>
  <c r="P587" i="2" s="1"/>
  <c r="P588" i="2" s="1"/>
  <c r="P589" i="2" s="1"/>
  <c r="P590" i="2" s="1"/>
  <c r="P591" i="2" s="1"/>
  <c r="P592" i="2" s="1"/>
  <c r="P593" i="2" s="1"/>
  <c r="P594" i="2" s="1"/>
  <c r="S584" i="2" s="1"/>
  <c r="S585" i="2" s="1"/>
  <c r="S586" i="2" s="1"/>
  <c r="S587" i="2" s="1"/>
  <c r="S588" i="2" s="1"/>
  <c r="S589" i="2" s="1"/>
  <c r="S590" i="2" s="1"/>
  <c r="S591" i="2" s="1"/>
  <c r="S592" i="2" s="1"/>
  <c r="S593" i="2" s="1"/>
  <c r="S594" i="2" s="1"/>
  <c r="V584" i="2" s="1"/>
  <c r="V585" i="2" s="1"/>
  <c r="V586" i="2" s="1"/>
  <c r="V587" i="2" s="1"/>
  <c r="V588" i="2" s="1"/>
  <c r="V589" i="2" s="1"/>
  <c r="V590" i="2" s="1"/>
  <c r="V591" i="2" s="1"/>
  <c r="V592" i="2" s="1"/>
  <c r="V593" i="2" s="1"/>
  <c r="V594" i="2" s="1"/>
  <c r="D596" i="2" s="1"/>
  <c r="D597" i="2" s="1"/>
  <c r="D598" i="2" s="1"/>
  <c r="D599" i="2" s="1"/>
  <c r="D600" i="2" s="1"/>
  <c r="D601" i="2" s="1"/>
  <c r="D602" i="2" s="1"/>
  <c r="D603" i="2" s="1"/>
  <c r="D604" i="2" s="1"/>
  <c r="D605" i="2" s="1"/>
  <c r="D606" i="2" s="1"/>
  <c r="G596" i="2" s="1"/>
  <c r="G597" i="2" s="1"/>
  <c r="G598" i="2" s="1"/>
  <c r="G599" i="2" s="1"/>
  <c r="G600" i="2" s="1"/>
  <c r="G601" i="2" s="1"/>
  <c r="G602" i="2" s="1"/>
  <c r="G603" i="2" s="1"/>
  <c r="G604" i="2" s="1"/>
  <c r="G605" i="2" s="1"/>
  <c r="G606" i="2" s="1"/>
  <c r="J596" i="2" s="1"/>
  <c r="J597" i="2" s="1"/>
  <c r="J598" i="2" s="1"/>
  <c r="J599" i="2" s="1"/>
  <c r="J600" i="2" s="1"/>
  <c r="J601" i="2" s="1"/>
  <c r="J602" i="2" s="1"/>
  <c r="J603" i="2" s="1"/>
  <c r="J604" i="2" s="1"/>
  <c r="J605" i="2" s="1"/>
  <c r="J606" i="2" s="1"/>
  <c r="M596" i="2" s="1"/>
  <c r="M597" i="2" s="1"/>
  <c r="M598" i="2" s="1"/>
  <c r="M599" i="2" s="1"/>
  <c r="M600" i="2" s="1"/>
  <c r="M601" i="2" s="1"/>
  <c r="M602" i="2" s="1"/>
  <c r="M603" i="2" s="1"/>
  <c r="M604" i="2" s="1"/>
  <c r="M605" i="2" s="1"/>
  <c r="M606" i="2" s="1"/>
  <c r="P596" i="2" s="1"/>
  <c r="P597" i="2" s="1"/>
  <c r="P598" i="2" s="1"/>
  <c r="P599" i="2" s="1"/>
  <c r="P600" i="2" s="1"/>
  <c r="P601" i="2" s="1"/>
  <c r="P602" i="2" s="1"/>
  <c r="P603" i="2" s="1"/>
  <c r="P604" i="2" s="1"/>
  <c r="P605" i="2" s="1"/>
  <c r="P606" i="2" s="1"/>
  <c r="S596" i="2" s="1"/>
  <c r="S597" i="2" s="1"/>
  <c r="S598" i="2" s="1"/>
  <c r="S599" i="2" s="1"/>
  <c r="S600" i="2" s="1"/>
  <c r="S601" i="2" s="1"/>
  <c r="S602" i="2" s="1"/>
  <c r="S603" i="2" s="1"/>
  <c r="S604" i="2" s="1"/>
  <c r="S605" i="2" s="1"/>
  <c r="S606" i="2" s="1"/>
  <c r="V596" i="2" s="1"/>
  <c r="V597" i="2" s="1"/>
  <c r="V598" i="2" s="1"/>
  <c r="V599" i="2" s="1"/>
  <c r="V600" i="2" s="1"/>
  <c r="V601" i="2" s="1"/>
  <c r="V602" i="2" s="1"/>
  <c r="V603" i="2" s="1"/>
  <c r="V604" i="2" s="1"/>
  <c r="V605" i="2" s="1"/>
  <c r="V606" i="2" s="1"/>
  <c r="D608" i="2" s="1"/>
  <c r="D609" i="2" s="1"/>
  <c r="D610" i="2" s="1"/>
  <c r="D611" i="2" s="1"/>
  <c r="D612" i="2" s="1"/>
  <c r="D613" i="2" s="1"/>
  <c r="D614" i="2" s="1"/>
  <c r="D615" i="2" s="1"/>
  <c r="D616" i="2" s="1"/>
  <c r="D617" i="2" s="1"/>
  <c r="D618" i="2" s="1"/>
  <c r="G608" i="2" s="1"/>
  <c r="G609" i="2" s="1"/>
  <c r="G610" i="2" s="1"/>
  <c r="G611" i="2" s="1"/>
  <c r="G612" i="2" s="1"/>
  <c r="G613" i="2" s="1"/>
  <c r="G614" i="2" s="1"/>
  <c r="G615" i="2" s="1"/>
  <c r="G616" i="2" s="1"/>
  <c r="G617" i="2" s="1"/>
  <c r="G618" i="2" s="1"/>
  <c r="J608" i="2" s="1"/>
  <c r="J609" i="2" s="1"/>
  <c r="J610" i="2" s="1"/>
  <c r="J611" i="2" s="1"/>
  <c r="J612" i="2" s="1"/>
  <c r="J613" i="2" s="1"/>
  <c r="J614" i="2" s="1"/>
  <c r="J615" i="2" s="1"/>
  <c r="J616" i="2" s="1"/>
  <c r="J617" i="2" s="1"/>
  <c r="J618" i="2" s="1"/>
  <c r="M608" i="2" s="1"/>
  <c r="M609" i="2" s="1"/>
  <c r="M610" i="2" s="1"/>
  <c r="M611" i="2" s="1"/>
  <c r="M612" i="2" s="1"/>
  <c r="M613" i="2" s="1"/>
  <c r="M614" i="2" s="1"/>
  <c r="M615" i="2" s="1"/>
  <c r="M616" i="2" s="1"/>
  <c r="M617" i="2" s="1"/>
  <c r="M618" i="2" s="1"/>
  <c r="P608" i="2" s="1"/>
  <c r="P609" i="2" s="1"/>
  <c r="P610" i="2" s="1"/>
  <c r="P611" i="2" s="1"/>
  <c r="P612" i="2" s="1"/>
  <c r="P613" i="2" s="1"/>
  <c r="P614" i="2" s="1"/>
  <c r="P615" i="2" s="1"/>
  <c r="P616" i="2" s="1"/>
  <c r="P617" i="2" s="1"/>
  <c r="P618" i="2" s="1"/>
  <c r="S608" i="2" s="1"/>
  <c r="S609" i="2" s="1"/>
  <c r="S610" i="2" s="1"/>
  <c r="S611" i="2" s="1"/>
  <c r="S612" i="2" s="1"/>
  <c r="S613" i="2" s="1"/>
  <c r="S614" i="2" s="1"/>
  <c r="S615" i="2" s="1"/>
  <c r="S616" i="2" s="1"/>
  <c r="S617" i="2" s="1"/>
  <c r="S618" i="2" s="1"/>
  <c r="V608" i="2" s="1"/>
  <c r="V609" i="2" s="1"/>
  <c r="V610" i="2" s="1"/>
  <c r="V611" i="2" s="1"/>
  <c r="V612" i="2" s="1"/>
  <c r="V613" i="2" s="1"/>
  <c r="V614" i="2" s="1"/>
  <c r="V615" i="2" s="1"/>
  <c r="V616" i="2" s="1"/>
  <c r="V617" i="2" s="1"/>
  <c r="V618" i="2" s="1"/>
  <c r="D620" i="2" s="1"/>
  <c r="D621" i="2" s="1"/>
  <c r="D622" i="2" s="1"/>
  <c r="D623" i="2" s="1"/>
  <c r="D624" i="2" s="1"/>
  <c r="D625" i="2" s="1"/>
  <c r="D626" i="2" s="1"/>
  <c r="D627" i="2" s="1"/>
  <c r="D628" i="2" s="1"/>
  <c r="D629" i="2" s="1"/>
  <c r="D630" i="2" s="1"/>
  <c r="G620" i="2" s="1"/>
  <c r="G621" i="2" s="1"/>
  <c r="G622" i="2" s="1"/>
  <c r="G623" i="2" s="1"/>
  <c r="G624" i="2" s="1"/>
  <c r="G625" i="2" s="1"/>
  <c r="G626" i="2" s="1"/>
  <c r="G627" i="2" s="1"/>
  <c r="G628" i="2" s="1"/>
  <c r="G629" i="2" s="1"/>
  <c r="G630" i="2" s="1"/>
  <c r="J620" i="2" s="1"/>
  <c r="J621" i="2" s="1"/>
  <c r="J622" i="2" s="1"/>
  <c r="J623" i="2" s="1"/>
  <c r="J624" i="2" s="1"/>
  <c r="J625" i="2" s="1"/>
  <c r="J626" i="2" s="1"/>
  <c r="J627" i="2" s="1"/>
  <c r="J628" i="2" s="1"/>
  <c r="J629" i="2" s="1"/>
  <c r="J630" i="2" s="1"/>
  <c r="M620" i="2" s="1"/>
  <c r="M621" i="2" s="1"/>
  <c r="M622" i="2" s="1"/>
  <c r="M623" i="2" s="1"/>
  <c r="M624" i="2" s="1"/>
  <c r="M625" i="2" s="1"/>
  <c r="M626" i="2" s="1"/>
  <c r="M627" i="2" s="1"/>
  <c r="M628" i="2" s="1"/>
  <c r="M629" i="2" s="1"/>
  <c r="M630" i="2" s="1"/>
  <c r="P620" i="2" s="1"/>
  <c r="P621" i="2" s="1"/>
  <c r="P622" i="2" s="1"/>
  <c r="P623" i="2" s="1"/>
  <c r="P624" i="2" s="1"/>
  <c r="P625" i="2" s="1"/>
  <c r="P626" i="2" s="1"/>
  <c r="P627" i="2" s="1"/>
  <c r="P628" i="2" s="1"/>
  <c r="P629" i="2" s="1"/>
  <c r="P630" i="2" s="1"/>
  <c r="S620" i="2" s="1"/>
  <c r="S621" i="2" s="1"/>
  <c r="S622" i="2" s="1"/>
  <c r="S623" i="2" s="1"/>
  <c r="S624" i="2" s="1"/>
  <c r="S625" i="2" s="1"/>
  <c r="S626" i="2" s="1"/>
  <c r="S627" i="2" s="1"/>
  <c r="S628" i="2" s="1"/>
  <c r="S629" i="2" s="1"/>
  <c r="S630" i="2" s="1"/>
  <c r="V620" i="2" s="1"/>
  <c r="V621" i="2" s="1"/>
  <c r="V622" i="2" s="1"/>
  <c r="V623" i="2" s="1"/>
  <c r="V624" i="2" s="1"/>
  <c r="V625" i="2" s="1"/>
  <c r="V626" i="2" s="1"/>
  <c r="V627" i="2" s="1"/>
  <c r="V628" i="2" s="1"/>
  <c r="V629" i="2" s="1"/>
  <c r="V630" i="2" s="1"/>
  <c r="D632" i="2" s="1"/>
  <c r="D633" i="2" s="1"/>
  <c r="D634" i="2" s="1"/>
  <c r="D635" i="2" s="1"/>
  <c r="D636" i="2" s="1"/>
  <c r="D637" i="2" s="1"/>
  <c r="D638" i="2" s="1"/>
  <c r="D639" i="2" s="1"/>
  <c r="D640" i="2" s="1"/>
  <c r="D641" i="2" s="1"/>
  <c r="D642" i="2" s="1"/>
  <c r="G632" i="2" s="1"/>
  <c r="G633" i="2" s="1"/>
  <c r="G634" i="2" s="1"/>
  <c r="G635" i="2" s="1"/>
  <c r="G636" i="2" s="1"/>
  <c r="G637" i="2" s="1"/>
  <c r="G638" i="2" s="1"/>
  <c r="G639" i="2" s="1"/>
  <c r="G640" i="2" s="1"/>
  <c r="G641" i="2" s="1"/>
  <c r="G642" i="2" s="1"/>
  <c r="J632" i="2" s="1"/>
  <c r="J633" i="2" s="1"/>
  <c r="J634" i="2" s="1"/>
  <c r="J635" i="2" s="1"/>
  <c r="J636" i="2" s="1"/>
  <c r="J637" i="2" s="1"/>
  <c r="J638" i="2" s="1"/>
  <c r="J639" i="2" s="1"/>
  <c r="J640" i="2" s="1"/>
  <c r="J641" i="2" s="1"/>
  <c r="J642" i="2" s="1"/>
  <c r="M632" i="2" s="1"/>
  <c r="M633" i="2" s="1"/>
  <c r="M634" i="2" s="1"/>
  <c r="M635" i="2" s="1"/>
  <c r="M636" i="2" s="1"/>
  <c r="M637" i="2" s="1"/>
  <c r="M638" i="2" s="1"/>
  <c r="M639" i="2" s="1"/>
  <c r="M640" i="2" s="1"/>
  <c r="M641" i="2" s="1"/>
  <c r="M642" i="2" s="1"/>
  <c r="P632" i="2" s="1"/>
  <c r="P633" i="2" s="1"/>
  <c r="P634" i="2" s="1"/>
  <c r="P635" i="2" s="1"/>
  <c r="P636" i="2" s="1"/>
  <c r="P637" i="2" s="1"/>
  <c r="P638" i="2" s="1"/>
  <c r="P639" i="2" s="1"/>
  <c r="P640" i="2" s="1"/>
  <c r="P641" i="2" s="1"/>
  <c r="P642" i="2" s="1"/>
  <c r="S632" i="2" s="1"/>
  <c r="S633" i="2" s="1"/>
  <c r="S634" i="2" s="1"/>
  <c r="S635" i="2" s="1"/>
  <c r="S636" i="2" s="1"/>
  <c r="S637" i="2" s="1"/>
  <c r="S638" i="2" s="1"/>
  <c r="S639" i="2" s="1"/>
  <c r="S640" i="2" s="1"/>
  <c r="S641" i="2" s="1"/>
  <c r="S642" i="2" s="1"/>
  <c r="V632" i="2" s="1"/>
  <c r="V633" i="2" s="1"/>
  <c r="V634" i="2" s="1"/>
  <c r="V635" i="2" s="1"/>
  <c r="V636" i="2" s="1"/>
  <c r="V637" i="2" s="1"/>
  <c r="V638" i="2" s="1"/>
  <c r="V639" i="2" s="1"/>
  <c r="V640" i="2" s="1"/>
  <c r="V641" i="2" s="1"/>
  <c r="V642" i="2" s="1"/>
  <c r="T2" i="2"/>
  <c r="Q2" i="2"/>
  <c r="N2" i="2"/>
  <c r="K2" i="2"/>
  <c r="H2" i="2"/>
  <c r="E2" i="2"/>
  <c r="D33" i="1"/>
  <c r="D34" i="1" s="1"/>
  <c r="D35" i="1" s="1"/>
  <c r="D36" i="1" s="1"/>
  <c r="D37" i="1" s="1"/>
  <c r="D38" i="1" s="1"/>
  <c r="G28" i="1" s="1"/>
  <c r="G29" i="1" s="1"/>
  <c r="G30" i="1" s="1"/>
  <c r="G31" i="1" s="1"/>
  <c r="G32" i="1" s="1"/>
  <c r="G33" i="1" s="1"/>
  <c r="G34" i="1" s="1"/>
  <c r="G35" i="1" s="1"/>
  <c r="G36" i="1" s="1"/>
  <c r="G37" i="1" s="1"/>
  <c r="G38" i="1" s="1"/>
  <c r="J28" i="1" s="1"/>
  <c r="J29" i="1" s="1"/>
  <c r="J30" i="1" s="1"/>
  <c r="J31" i="1" s="1"/>
  <c r="J32" i="1" s="1"/>
  <c r="J33" i="1" s="1"/>
  <c r="J34" i="1" s="1"/>
  <c r="J35" i="1" s="1"/>
  <c r="J36" i="1" s="1"/>
  <c r="J37" i="1" s="1"/>
  <c r="J38" i="1" s="1"/>
  <c r="M28" i="1" s="1"/>
  <c r="M29" i="1" s="1"/>
  <c r="M30" i="1" s="1"/>
  <c r="M31" i="1" s="1"/>
  <c r="M32" i="1" s="1"/>
  <c r="M33" i="1" s="1"/>
  <c r="M34" i="1" s="1"/>
  <c r="M35" i="1" s="1"/>
  <c r="M36" i="1" s="1"/>
  <c r="M37" i="1" s="1"/>
  <c r="M38" i="1" s="1"/>
  <c r="P28" i="1" s="1"/>
  <c r="P29" i="1" s="1"/>
  <c r="P30" i="1" s="1"/>
  <c r="P31" i="1" s="1"/>
  <c r="P32" i="1" s="1"/>
  <c r="P33" i="1" s="1"/>
  <c r="P34" i="1" s="1"/>
  <c r="P35" i="1" s="1"/>
  <c r="P36" i="1" s="1"/>
  <c r="P37" i="1" s="1"/>
  <c r="P38" i="1" s="1"/>
  <c r="S28" i="1" s="1"/>
  <c r="S29" i="1" s="1"/>
  <c r="S30" i="1" s="1"/>
  <c r="S31" i="1" s="1"/>
  <c r="S32" i="1" s="1"/>
  <c r="S33" i="1" s="1"/>
  <c r="S34" i="1" s="1"/>
  <c r="S35" i="1" s="1"/>
  <c r="S36" i="1" s="1"/>
  <c r="S37" i="1" s="1"/>
  <c r="S38" i="1" s="1"/>
  <c r="V28" i="1" s="1"/>
  <c r="V29" i="1" s="1"/>
  <c r="V30" i="1" s="1"/>
  <c r="V31" i="1" s="1"/>
  <c r="V32" i="1" s="1"/>
  <c r="V33" i="1" s="1"/>
  <c r="V34" i="1" s="1"/>
  <c r="V35" i="1" s="1"/>
  <c r="V36" i="1" s="1"/>
  <c r="V37" i="1" s="1"/>
  <c r="V38" i="1" s="1"/>
  <c r="D40" i="1" s="1"/>
  <c r="D41" i="1" s="1"/>
  <c r="D42" i="1" s="1"/>
  <c r="D43" i="1" s="1"/>
  <c r="D44" i="1" s="1"/>
  <c r="D45" i="1" s="1"/>
  <c r="D46" i="1" s="1"/>
  <c r="D47" i="1" s="1"/>
  <c r="D48" i="1" s="1"/>
  <c r="D49" i="1" s="1"/>
  <c r="D50" i="1" s="1"/>
  <c r="G40" i="1" s="1"/>
  <c r="G41" i="1" s="1"/>
  <c r="G42" i="1" s="1"/>
  <c r="G43" i="1" s="1"/>
  <c r="G44" i="1" s="1"/>
  <c r="G45" i="1" s="1"/>
  <c r="G46" i="1" s="1"/>
  <c r="G47" i="1" s="1"/>
  <c r="G48" i="1" s="1"/>
  <c r="G49" i="1" s="1"/>
  <c r="G50" i="1" s="1"/>
  <c r="J40" i="1" s="1"/>
  <c r="J41" i="1" s="1"/>
  <c r="J42" i="1" s="1"/>
  <c r="J43" i="1" s="1"/>
  <c r="J44" i="1" s="1"/>
  <c r="J45" i="1" s="1"/>
  <c r="J46" i="1" s="1"/>
  <c r="J47" i="1" s="1"/>
  <c r="J48" i="1" s="1"/>
  <c r="J49" i="1" s="1"/>
  <c r="J50" i="1" s="1"/>
  <c r="M40" i="1" s="1"/>
  <c r="M41" i="1" s="1"/>
  <c r="M42" i="1" s="1"/>
  <c r="M43" i="1" s="1"/>
  <c r="M44" i="1" s="1"/>
  <c r="M45" i="1" s="1"/>
  <c r="M46" i="1" s="1"/>
  <c r="M47" i="1" s="1"/>
  <c r="M48" i="1" s="1"/>
  <c r="M49" i="1" s="1"/>
  <c r="M50" i="1" s="1"/>
  <c r="P40" i="1" s="1"/>
  <c r="P41" i="1" s="1"/>
  <c r="P42" i="1" s="1"/>
  <c r="P43" i="1" s="1"/>
  <c r="P44" i="1" s="1"/>
  <c r="P45" i="1" s="1"/>
  <c r="P46" i="1" s="1"/>
  <c r="P47" i="1" s="1"/>
  <c r="P48" i="1" s="1"/>
  <c r="P49" i="1" s="1"/>
  <c r="P50" i="1" s="1"/>
  <c r="S40" i="1" s="1"/>
  <c r="S41" i="1" s="1"/>
  <c r="S42" i="1" s="1"/>
  <c r="S43" i="1" s="1"/>
  <c r="S44" i="1" s="1"/>
  <c r="S45" i="1" s="1"/>
  <c r="S46" i="1" s="1"/>
  <c r="S47" i="1" s="1"/>
  <c r="S48" i="1" s="1"/>
  <c r="S49" i="1" s="1"/>
  <c r="S50" i="1" s="1"/>
  <c r="V40" i="1" s="1"/>
  <c r="V41" i="1" s="1"/>
  <c r="V42" i="1" s="1"/>
  <c r="V43" i="1" s="1"/>
  <c r="V44" i="1" s="1"/>
  <c r="V45" i="1" s="1"/>
  <c r="V46" i="1" s="1"/>
  <c r="V47" i="1" s="1"/>
  <c r="V48" i="1" s="1"/>
  <c r="V49" i="1" s="1"/>
  <c r="V50" i="1" s="1"/>
  <c r="D52" i="1" s="1"/>
  <c r="D53" i="1" s="1"/>
  <c r="D54" i="1" s="1"/>
  <c r="D55" i="1" s="1"/>
  <c r="D56" i="1" s="1"/>
  <c r="D57" i="1" s="1"/>
  <c r="D58" i="1" s="1"/>
  <c r="D59" i="1" s="1"/>
  <c r="D60" i="1" s="1"/>
  <c r="D61" i="1" s="1"/>
  <c r="D62" i="1" s="1"/>
  <c r="G52" i="1" s="1"/>
  <c r="G53" i="1" s="1"/>
  <c r="G54" i="1" s="1"/>
  <c r="G55" i="1" s="1"/>
  <c r="G56" i="1" s="1"/>
  <c r="G57" i="1" s="1"/>
  <c r="G58" i="1" s="1"/>
  <c r="G59" i="1" s="1"/>
  <c r="G60" i="1" s="1"/>
  <c r="G61" i="1" s="1"/>
  <c r="G62" i="1" s="1"/>
  <c r="J52" i="1" s="1"/>
  <c r="J53" i="1" s="1"/>
  <c r="J54" i="1" s="1"/>
  <c r="J55" i="1" s="1"/>
  <c r="J56" i="1" s="1"/>
  <c r="J57" i="1" s="1"/>
  <c r="J58" i="1" s="1"/>
  <c r="J59" i="1" s="1"/>
  <c r="J60" i="1" s="1"/>
  <c r="J61" i="1" s="1"/>
  <c r="J62" i="1" s="1"/>
  <c r="M52" i="1" s="1"/>
  <c r="M53" i="1" s="1"/>
  <c r="M54" i="1" s="1"/>
  <c r="M55" i="1" s="1"/>
  <c r="M56" i="1" s="1"/>
  <c r="M57" i="1" s="1"/>
  <c r="M58" i="1" s="1"/>
  <c r="M59" i="1" s="1"/>
  <c r="M60" i="1" s="1"/>
  <c r="M61" i="1" s="1"/>
  <c r="M62" i="1" s="1"/>
  <c r="P52" i="1" s="1"/>
  <c r="P53" i="1" s="1"/>
  <c r="P54" i="1" s="1"/>
  <c r="P55" i="1" s="1"/>
  <c r="P56" i="1" s="1"/>
  <c r="P57" i="1" s="1"/>
  <c r="P58" i="1" s="1"/>
  <c r="P59" i="1" s="1"/>
  <c r="P60" i="1" s="1"/>
  <c r="P61" i="1" s="1"/>
  <c r="P62" i="1" s="1"/>
  <c r="S52" i="1" s="1"/>
  <c r="S53" i="1" s="1"/>
  <c r="S54" i="1" s="1"/>
  <c r="S55" i="1" s="1"/>
  <c r="S56" i="1" s="1"/>
  <c r="S57" i="1" s="1"/>
  <c r="S58" i="1" s="1"/>
  <c r="S59" i="1" s="1"/>
  <c r="S60" i="1" s="1"/>
  <c r="S61" i="1" s="1"/>
  <c r="S62" i="1" s="1"/>
  <c r="V52" i="1" s="1"/>
  <c r="V53" i="1" s="1"/>
  <c r="V54" i="1" s="1"/>
  <c r="V55" i="1" s="1"/>
  <c r="V56" i="1" s="1"/>
  <c r="V57" i="1" s="1"/>
  <c r="V58" i="1" s="1"/>
  <c r="V59" i="1" s="1"/>
  <c r="V60" i="1" s="1"/>
  <c r="V61" i="1" s="1"/>
  <c r="V62" i="1" s="1"/>
  <c r="D64" i="1" s="1"/>
  <c r="D65" i="1" s="1"/>
  <c r="D66" i="1" s="1"/>
  <c r="D67" i="1" s="1"/>
  <c r="D68" i="1" s="1"/>
  <c r="D69" i="1" s="1"/>
  <c r="D70" i="1" s="1"/>
  <c r="D71" i="1" s="1"/>
  <c r="D72" i="1" s="1"/>
  <c r="D73" i="1" s="1"/>
  <c r="D74" i="1" s="1"/>
  <c r="G64" i="1" s="1"/>
  <c r="G65" i="1" s="1"/>
  <c r="G66" i="1" s="1"/>
  <c r="G67" i="1" s="1"/>
  <c r="G68" i="1" s="1"/>
  <c r="G69" i="1" s="1"/>
  <c r="G70" i="1" s="1"/>
  <c r="G71" i="1" s="1"/>
  <c r="G72" i="1" s="1"/>
  <c r="G73" i="1" s="1"/>
  <c r="G74" i="1" s="1"/>
  <c r="J64" i="1" s="1"/>
  <c r="J65" i="1" s="1"/>
  <c r="J66" i="1" s="1"/>
  <c r="J67" i="1" s="1"/>
  <c r="J68" i="1" s="1"/>
  <c r="J69" i="1" s="1"/>
  <c r="J70" i="1" s="1"/>
  <c r="J71" i="1" s="1"/>
  <c r="J72" i="1" s="1"/>
  <c r="J73" i="1" s="1"/>
  <c r="J74" i="1" s="1"/>
  <c r="M64" i="1" s="1"/>
  <c r="M65" i="1" s="1"/>
  <c r="M66" i="1" s="1"/>
  <c r="M67" i="1" s="1"/>
  <c r="M68" i="1" s="1"/>
  <c r="M69" i="1" s="1"/>
  <c r="M70" i="1" s="1"/>
  <c r="M71" i="1" s="1"/>
  <c r="M72" i="1" s="1"/>
  <c r="M73" i="1" s="1"/>
  <c r="M74" i="1" s="1"/>
  <c r="P64" i="1" s="1"/>
  <c r="P65" i="1" s="1"/>
  <c r="P66" i="1" s="1"/>
  <c r="P67" i="1" s="1"/>
  <c r="P68" i="1" s="1"/>
  <c r="P69" i="1" s="1"/>
  <c r="P70" i="1" s="1"/>
  <c r="P71" i="1" s="1"/>
  <c r="P72" i="1" s="1"/>
  <c r="P73" i="1" s="1"/>
  <c r="P74" i="1" s="1"/>
  <c r="S64" i="1" s="1"/>
  <c r="S65" i="1" s="1"/>
  <c r="S66" i="1" s="1"/>
  <c r="S67" i="1" s="1"/>
  <c r="S68" i="1" s="1"/>
  <c r="S69" i="1" s="1"/>
  <c r="S70" i="1" s="1"/>
  <c r="S71" i="1" s="1"/>
  <c r="S72" i="1" s="1"/>
  <c r="S73" i="1" s="1"/>
  <c r="S74" i="1" s="1"/>
  <c r="V64" i="1" s="1"/>
  <c r="V65" i="1" s="1"/>
  <c r="V66" i="1" s="1"/>
  <c r="V67" i="1" s="1"/>
  <c r="V68" i="1" s="1"/>
  <c r="V69" i="1" s="1"/>
  <c r="V70" i="1" s="1"/>
  <c r="V71" i="1" s="1"/>
  <c r="V72" i="1" s="1"/>
  <c r="V73" i="1" s="1"/>
  <c r="V74" i="1" s="1"/>
  <c r="D76" i="1" s="1"/>
  <c r="D77" i="1" s="1"/>
  <c r="D78" i="1" s="1"/>
  <c r="D79" i="1" s="1"/>
  <c r="D80" i="1" s="1"/>
  <c r="D81" i="1" s="1"/>
  <c r="D82" i="1" s="1"/>
  <c r="D83" i="1" s="1"/>
  <c r="D84" i="1" s="1"/>
  <c r="D85" i="1" s="1"/>
  <c r="D86" i="1" s="1"/>
  <c r="G76" i="1" s="1"/>
  <c r="G77" i="1" s="1"/>
  <c r="G78" i="1" s="1"/>
  <c r="G79" i="1" s="1"/>
  <c r="G80" i="1" s="1"/>
  <c r="G81" i="1" s="1"/>
  <c r="G82" i="1" s="1"/>
  <c r="G83" i="1" s="1"/>
  <c r="G84" i="1" s="1"/>
  <c r="G85" i="1" s="1"/>
  <c r="G86" i="1" s="1"/>
  <c r="J76" i="1" s="1"/>
  <c r="J77" i="1" s="1"/>
  <c r="J78" i="1" s="1"/>
  <c r="J79" i="1" s="1"/>
  <c r="J80" i="1" s="1"/>
  <c r="J81" i="1" s="1"/>
  <c r="J82" i="1" s="1"/>
  <c r="J83" i="1" s="1"/>
  <c r="J84" i="1" s="1"/>
  <c r="J85" i="1" s="1"/>
  <c r="J86" i="1" s="1"/>
  <c r="M76" i="1" s="1"/>
  <c r="M77" i="1" s="1"/>
  <c r="M78" i="1" s="1"/>
  <c r="M79" i="1" s="1"/>
  <c r="M80" i="1" s="1"/>
  <c r="M81" i="1" s="1"/>
  <c r="M82" i="1" s="1"/>
  <c r="M83" i="1" s="1"/>
  <c r="M84" i="1" s="1"/>
  <c r="M85" i="1" s="1"/>
  <c r="M86" i="1" s="1"/>
  <c r="P76" i="1" s="1"/>
  <c r="P77" i="1" s="1"/>
  <c r="P78" i="1" s="1"/>
  <c r="P79" i="1" s="1"/>
  <c r="P80" i="1" s="1"/>
  <c r="P81" i="1" s="1"/>
  <c r="P82" i="1" s="1"/>
  <c r="P83" i="1" s="1"/>
  <c r="P84" i="1" s="1"/>
  <c r="P85" i="1" s="1"/>
  <c r="P86" i="1" s="1"/>
  <c r="S76" i="1" s="1"/>
  <c r="S77" i="1" s="1"/>
  <c r="S78" i="1" s="1"/>
  <c r="S79" i="1" s="1"/>
  <c r="S80" i="1" s="1"/>
  <c r="S81" i="1" s="1"/>
  <c r="S82" i="1" s="1"/>
  <c r="S83" i="1" s="1"/>
  <c r="S84" i="1" s="1"/>
  <c r="S85" i="1" s="1"/>
  <c r="S86" i="1" s="1"/>
  <c r="V76" i="1" s="1"/>
  <c r="V77" i="1" s="1"/>
  <c r="V78" i="1" s="1"/>
  <c r="V79" i="1" s="1"/>
  <c r="V80" i="1" s="1"/>
  <c r="V81" i="1" s="1"/>
  <c r="V82" i="1" s="1"/>
  <c r="V83" i="1" s="1"/>
  <c r="V84" i="1" s="1"/>
  <c r="V85" i="1" s="1"/>
  <c r="V86" i="1" s="1"/>
  <c r="D88" i="1" s="1"/>
  <c r="D89" i="1" s="1"/>
  <c r="D90" i="1" s="1"/>
  <c r="D91" i="1" s="1"/>
  <c r="D92" i="1" s="1"/>
  <c r="D93" i="1" s="1"/>
  <c r="D94" i="1" s="1"/>
  <c r="D95" i="1" s="1"/>
  <c r="D96" i="1" s="1"/>
  <c r="D97" i="1" s="1"/>
  <c r="D98" i="1" s="1"/>
  <c r="G88" i="1" s="1"/>
  <c r="G89" i="1" s="1"/>
  <c r="G90" i="1" s="1"/>
  <c r="G91" i="1" s="1"/>
  <c r="G92" i="1" s="1"/>
  <c r="G93" i="1" s="1"/>
  <c r="G94" i="1" s="1"/>
  <c r="G95" i="1" s="1"/>
  <c r="G96" i="1" s="1"/>
  <c r="G97" i="1" s="1"/>
  <c r="G98" i="1" s="1"/>
  <c r="J88" i="1" s="1"/>
  <c r="J89" i="1" s="1"/>
  <c r="J90" i="1" s="1"/>
  <c r="J91" i="1" s="1"/>
  <c r="J92" i="1" s="1"/>
  <c r="J93" i="1" s="1"/>
  <c r="J94" i="1" s="1"/>
  <c r="J95" i="1" s="1"/>
  <c r="J96" i="1" s="1"/>
  <c r="J97" i="1" s="1"/>
  <c r="J98" i="1" s="1"/>
  <c r="M88" i="1" s="1"/>
  <c r="M89" i="1" s="1"/>
  <c r="M90" i="1" s="1"/>
  <c r="M91" i="1" s="1"/>
  <c r="M92" i="1" s="1"/>
  <c r="M93" i="1" s="1"/>
  <c r="M94" i="1" s="1"/>
  <c r="M95" i="1" s="1"/>
  <c r="M96" i="1" s="1"/>
  <c r="M97" i="1" s="1"/>
  <c r="M98" i="1" s="1"/>
  <c r="P88" i="1" s="1"/>
  <c r="P89" i="1" s="1"/>
  <c r="P90" i="1" s="1"/>
  <c r="P91" i="1" s="1"/>
  <c r="P92" i="1" s="1"/>
  <c r="P93" i="1" s="1"/>
  <c r="P94" i="1" s="1"/>
  <c r="P95" i="1" s="1"/>
  <c r="P96" i="1" s="1"/>
  <c r="P97" i="1" s="1"/>
  <c r="P98" i="1" s="1"/>
  <c r="S88" i="1" s="1"/>
  <c r="S89" i="1" s="1"/>
  <c r="S90" i="1" s="1"/>
  <c r="S91" i="1" s="1"/>
  <c r="S92" i="1" s="1"/>
  <c r="S93" i="1" s="1"/>
  <c r="S94" i="1" s="1"/>
  <c r="S95" i="1" s="1"/>
  <c r="S96" i="1" s="1"/>
  <c r="S97" i="1" s="1"/>
  <c r="S98" i="1" s="1"/>
  <c r="V88" i="1" s="1"/>
  <c r="V89" i="1" s="1"/>
  <c r="V90" i="1" s="1"/>
  <c r="V91" i="1" s="1"/>
  <c r="V92" i="1" s="1"/>
  <c r="V93" i="1" s="1"/>
  <c r="V94" i="1" s="1"/>
  <c r="V95" i="1" s="1"/>
  <c r="V96" i="1" s="1"/>
  <c r="V97" i="1" s="1"/>
  <c r="V98" i="1" s="1"/>
  <c r="D100" i="1" s="1"/>
  <c r="D101" i="1" s="1"/>
  <c r="D102" i="1" s="1"/>
  <c r="D103" i="1" s="1"/>
  <c r="D104" i="1" s="1"/>
  <c r="D105" i="1" s="1"/>
  <c r="D106" i="1" s="1"/>
  <c r="D107" i="1" s="1"/>
  <c r="D108" i="1" s="1"/>
  <c r="D109" i="1" s="1"/>
  <c r="D110" i="1" s="1"/>
  <c r="G100" i="1" s="1"/>
  <c r="G101" i="1" s="1"/>
  <c r="G102" i="1" s="1"/>
  <c r="G103" i="1" s="1"/>
  <c r="G104" i="1" s="1"/>
  <c r="G105" i="1" s="1"/>
  <c r="G106" i="1" s="1"/>
  <c r="G107" i="1" s="1"/>
  <c r="G108" i="1" s="1"/>
  <c r="G109" i="1" s="1"/>
  <c r="G110" i="1" s="1"/>
  <c r="J100" i="1" s="1"/>
  <c r="J101" i="1" s="1"/>
  <c r="J102" i="1" s="1"/>
  <c r="J103" i="1" s="1"/>
  <c r="J104" i="1" s="1"/>
  <c r="J105" i="1" s="1"/>
  <c r="J106" i="1" s="1"/>
  <c r="J107" i="1" s="1"/>
  <c r="J108" i="1" s="1"/>
  <c r="J109" i="1" s="1"/>
  <c r="J110" i="1" s="1"/>
  <c r="M100" i="1" s="1"/>
  <c r="M101" i="1" s="1"/>
  <c r="M102" i="1" s="1"/>
  <c r="M103" i="1" s="1"/>
  <c r="M104" i="1" s="1"/>
  <c r="M105" i="1" s="1"/>
  <c r="M106" i="1" s="1"/>
  <c r="M107" i="1" s="1"/>
  <c r="M108" i="1" s="1"/>
  <c r="M109" i="1" s="1"/>
  <c r="M110" i="1" s="1"/>
  <c r="P100" i="1" s="1"/>
  <c r="P101" i="1" s="1"/>
  <c r="P102" i="1" s="1"/>
  <c r="P103" i="1" s="1"/>
  <c r="P104" i="1" s="1"/>
  <c r="P105" i="1" s="1"/>
  <c r="P106" i="1" s="1"/>
  <c r="P107" i="1" s="1"/>
  <c r="P108" i="1" s="1"/>
  <c r="P109" i="1" s="1"/>
  <c r="P110" i="1" s="1"/>
  <c r="S100" i="1" s="1"/>
  <c r="S101" i="1" s="1"/>
  <c r="S102" i="1" s="1"/>
  <c r="S103" i="1" s="1"/>
  <c r="S104" i="1" s="1"/>
  <c r="S105" i="1" s="1"/>
  <c r="S106" i="1" s="1"/>
  <c r="S107" i="1" s="1"/>
  <c r="S108" i="1" s="1"/>
  <c r="S109" i="1" s="1"/>
  <c r="S110" i="1" s="1"/>
  <c r="V100" i="1" s="1"/>
  <c r="V101" i="1" s="1"/>
  <c r="V102" i="1" s="1"/>
  <c r="V103" i="1" s="1"/>
  <c r="V104" i="1" s="1"/>
  <c r="V105" i="1" s="1"/>
  <c r="V106" i="1" s="1"/>
  <c r="V107" i="1" s="1"/>
  <c r="V108" i="1" s="1"/>
  <c r="V109" i="1" s="1"/>
  <c r="V110" i="1" s="1"/>
  <c r="D29" i="1"/>
  <c r="D30" i="1" s="1"/>
  <c r="D31" i="1" s="1"/>
  <c r="D32" i="1" s="1"/>
</calcChain>
</file>

<file path=xl/sharedStrings.xml><?xml version="1.0" encoding="utf-8"?>
<sst xmlns="http://schemas.openxmlformats.org/spreadsheetml/2006/main" count="1027" uniqueCount="194">
  <si>
    <t>Budget Schedule 2026 (SAMPLE PAGE)</t>
  </si>
  <si>
    <t>Sample Calendar :: Delete When Done</t>
  </si>
  <si>
    <t>SAVINGS TRACKER</t>
  </si>
  <si>
    <r>
      <rPr>
        <sz val="14"/>
        <color theme="1"/>
        <rFont val="Calibri"/>
      </rPr>
      <t xml:space="preserve">Below, you'll find a six week preview of how the calendar </t>
    </r>
    <r>
      <rPr>
        <b/>
        <i/>
        <sz val="14"/>
        <color theme="1"/>
        <rFont val="Calibri"/>
      </rPr>
      <t xml:space="preserve">might </t>
    </r>
    <r>
      <rPr>
        <sz val="14"/>
        <color theme="1"/>
        <rFont val="Calibri"/>
      </rPr>
      <t xml:space="preserve">look if you use it regularly - at least once a week, but possibly even daily!
In the sample, you can see the person holding onto their reciepts and rounding up (ignoring the change helps you spend less &amp; save more).
They update the calendar each time a charge hits their account. 
The 'pink' dates are dates they've already spent, and they've recorded specific amounts and vendors
The 'empty' dates are dates-to-come, and they've budgeted certain amounts for these upcomming expenses. 
Further down, they see they're spending more than they're bringing in, and used the 'color fill' function to remind them they need to spend less and make some adjustments. 
Thankfully, they've been budgeting for 'social' things at $25 a week, and possibly over-estimated the cost of gas by about $10-20 a week.
If they cut those out and make some minor adjustments (drive less and do more grocery shopping at the dollar store maybe), 
it's not the best way to live (many would call it dystopian) but it'll make sure they're able to pay their bills and not fall into a downward spiral of debt. 
Look.... life will be tough for a lot of you these next few years. Budgeting will be a BIG part of it.
As of May 2023, 2/3 Americans cannot afford a $500 emergency without going into debt, and it was easier to buy a home during The Great Depression than it is today!
You are stepping into an extremely challenging world where 'boring' words like finance and economics will regularly challenge and shape your lives.
We sincerely hope this helps.   Good luck! </t>
    </r>
  </si>
  <si>
    <t>AND OTHER NOTES</t>
  </si>
  <si>
    <t xml:space="preserve">  RENT</t>
  </si>
  <si>
    <t xml:space="preserve">  Util.Phone</t>
  </si>
  <si>
    <t xml:space="preserve">  Util.Electric</t>
  </si>
  <si>
    <t xml:space="preserve">  Util.Internet/Cable</t>
  </si>
  <si>
    <t xml:space="preserve">  Util.Gas</t>
  </si>
  <si>
    <t xml:space="preserve">  Util.Water/Trash</t>
  </si>
  <si>
    <t>Health Ins - 6th ea/ month</t>
  </si>
  <si>
    <t>Car Ins - 16th ea Month</t>
  </si>
  <si>
    <t xml:space="preserve">  SAVINGS  |  $25</t>
  </si>
  <si>
    <t>WEEKLY</t>
  </si>
  <si>
    <t xml:space="preserve">  Groceries  |  $75</t>
  </si>
  <si>
    <t xml:space="preserve">  Social   |  $25</t>
  </si>
  <si>
    <t xml:space="preserve">  Gas  |  $65</t>
  </si>
  <si>
    <t>RECURRING ~6 wks</t>
  </si>
  <si>
    <t xml:space="preserve">  Toiletries  |  $75</t>
  </si>
  <si>
    <t>SAVINGS</t>
  </si>
  <si>
    <t>WEEKS</t>
  </si>
  <si>
    <t>2026.05.03</t>
  </si>
  <si>
    <t>2026.05.04</t>
  </si>
  <si>
    <t>2026.05.05</t>
  </si>
  <si>
    <t>2026.05.06</t>
  </si>
  <si>
    <t>2026.05.07</t>
  </si>
  <si>
    <t>2026.05.08</t>
  </si>
  <si>
    <t>2026.05.09</t>
  </si>
  <si>
    <t>Week 18</t>
  </si>
  <si>
    <t>RENT</t>
  </si>
  <si>
    <t xml:space="preserve">STARTING </t>
  </si>
  <si>
    <t>BALANCE</t>
  </si>
  <si>
    <t>WinCo</t>
  </si>
  <si>
    <t>Gas (Car)</t>
  </si>
  <si>
    <t>JackITBox</t>
  </si>
  <si>
    <t>ESTIMATE</t>
  </si>
  <si>
    <t>DollarStore</t>
  </si>
  <si>
    <t>Movies</t>
  </si>
  <si>
    <t>Walmart</t>
  </si>
  <si>
    <t>Abed's Party</t>
  </si>
  <si>
    <t>Bday</t>
  </si>
  <si>
    <t>Cash</t>
  </si>
  <si>
    <t>(parents)</t>
  </si>
  <si>
    <t>2026.05.10</t>
  </si>
  <si>
    <t>2026.05.11</t>
  </si>
  <si>
    <t>2026.05.12</t>
  </si>
  <si>
    <t>2026.05.13</t>
  </si>
  <si>
    <t>2026.05.14</t>
  </si>
  <si>
    <t>2026.05.15</t>
  </si>
  <si>
    <t>2025.05.16</t>
  </si>
  <si>
    <t>Week 19</t>
  </si>
  <si>
    <t>Trader Joes</t>
  </si>
  <si>
    <t>PAYDAY</t>
  </si>
  <si>
    <t>Roberto's</t>
  </si>
  <si>
    <t>WalMart</t>
  </si>
  <si>
    <t>Starbucks</t>
  </si>
  <si>
    <t>B &amp; B</t>
  </si>
  <si>
    <t>Live/Nation</t>
  </si>
  <si>
    <t>CONCERT</t>
  </si>
  <si>
    <t>Conert Tix</t>
  </si>
  <si>
    <t>NIGHT !</t>
  </si>
  <si>
    <t>Uber There</t>
  </si>
  <si>
    <t>RamenPlace</t>
  </si>
  <si>
    <t>Uber Home</t>
  </si>
  <si>
    <t>2026.05.17</t>
  </si>
  <si>
    <t>2026.05.18</t>
  </si>
  <si>
    <t>2026.05.19</t>
  </si>
  <si>
    <t>2026.05.20</t>
  </si>
  <si>
    <t>2026.05.21</t>
  </si>
  <si>
    <t>2026.05.22</t>
  </si>
  <si>
    <t>2026.05.23</t>
  </si>
  <si>
    <t>Week 20</t>
  </si>
  <si>
    <t>UTILITIES</t>
  </si>
  <si>
    <t>Groceries</t>
  </si>
  <si>
    <t>Phone</t>
  </si>
  <si>
    <t>Social</t>
  </si>
  <si>
    <t>Electric</t>
  </si>
  <si>
    <t>Car Ins</t>
  </si>
  <si>
    <t>Gas</t>
  </si>
  <si>
    <t>Internet Svc</t>
  </si>
  <si>
    <t>Water/Trash</t>
  </si>
  <si>
    <t>2026.05.24</t>
  </si>
  <si>
    <t>2026.05.25</t>
  </si>
  <si>
    <t>2026.05.26</t>
  </si>
  <si>
    <t>2026.05.27</t>
  </si>
  <si>
    <t>2026.05.28</t>
  </si>
  <si>
    <t>2026.05.29</t>
  </si>
  <si>
    <t>2026.05.30</t>
  </si>
  <si>
    <t>Week 21</t>
  </si>
  <si>
    <t xml:space="preserve">Gas </t>
  </si>
  <si>
    <t>2026.05.31</t>
  </si>
  <si>
    <t>2026.06.01</t>
  </si>
  <si>
    <t>2026.06.02</t>
  </si>
  <si>
    <t>2026.06.03</t>
  </si>
  <si>
    <t>2026.06.04</t>
  </si>
  <si>
    <t>2026.06.05</t>
  </si>
  <si>
    <t>2026.06.06</t>
  </si>
  <si>
    <t>Week 22</t>
  </si>
  <si>
    <t>2026.06.07</t>
  </si>
  <si>
    <t>2026.06.08</t>
  </si>
  <si>
    <t>2026.06.09</t>
  </si>
  <si>
    <t>2026.06.10</t>
  </si>
  <si>
    <t>2026.06.11</t>
  </si>
  <si>
    <t>2026.06.12</t>
  </si>
  <si>
    <t>2026.06.13</t>
  </si>
  <si>
    <t>Week 23</t>
  </si>
  <si>
    <t>LOOK OUT!</t>
  </si>
  <si>
    <t>SPENT TOO</t>
  </si>
  <si>
    <t>MUCH!</t>
  </si>
  <si>
    <t>Be Careful!</t>
  </si>
  <si>
    <t>2026.06.14</t>
  </si>
  <si>
    <t>2026.06.15</t>
  </si>
  <si>
    <t>2026.06.16</t>
  </si>
  <si>
    <t>2026.06.17</t>
  </si>
  <si>
    <t>2026.06.18</t>
  </si>
  <si>
    <t>2026.06.19</t>
  </si>
  <si>
    <t>2026.06.20</t>
  </si>
  <si>
    <t>Week 24</t>
  </si>
  <si>
    <t>END OF SAMPLE PERIOD</t>
  </si>
  <si>
    <t xml:space="preserve"> </t>
  </si>
  <si>
    <r>
      <rPr>
        <b/>
        <sz val="20"/>
        <color theme="1"/>
        <rFont val="Arial"/>
      </rPr>
      <t xml:space="preserve">Weekly Budget Schedule 2026
</t>
    </r>
    <r>
      <rPr>
        <b/>
        <sz val="15"/>
        <color rgb="FF38761D"/>
        <rFont val="Arial"/>
      </rPr>
      <t>REMEMBER: Start the year's Ca$h by typing your $tarting balance into D7</t>
    </r>
  </si>
  <si>
    <t>2025.12.28</t>
  </si>
  <si>
    <t>Item</t>
  </si>
  <si>
    <t>Amount</t>
  </si>
  <si>
    <t>Balance</t>
  </si>
  <si>
    <t>Week 01</t>
  </si>
  <si>
    <t>-</t>
  </si>
  <si>
    <t>RECURRING</t>
  </si>
  <si>
    <t>*</t>
  </si>
  <si>
    <t xml:space="preserve">EXPENSE </t>
  </si>
  <si>
    <t xml:space="preserve">Starting </t>
  </si>
  <si>
    <t>REMINDERS</t>
  </si>
  <si>
    <t>Savings</t>
  </si>
  <si>
    <t>Car Insurance</t>
  </si>
  <si>
    <t>Annual DMV</t>
  </si>
  <si>
    <t>Week 02</t>
  </si>
  <si>
    <t>Week 03</t>
  </si>
  <si>
    <t>Toiletries</t>
  </si>
  <si>
    <t>Week 04</t>
  </si>
  <si>
    <t>Week 05</t>
  </si>
  <si>
    <t>Week 06</t>
  </si>
  <si>
    <t>Week 07</t>
  </si>
  <si>
    <t>Week 08</t>
  </si>
  <si>
    <t>Week 09</t>
  </si>
  <si>
    <t>Week 10</t>
  </si>
  <si>
    <t>Week 11</t>
  </si>
  <si>
    <t>Week 12</t>
  </si>
  <si>
    <t>Week 13</t>
  </si>
  <si>
    <t>Week 14</t>
  </si>
  <si>
    <t>Week 15</t>
  </si>
  <si>
    <t>Week 16</t>
  </si>
  <si>
    <t>Week 17</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</si>
  <si>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</si>
  <si>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</si>
  <si>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</si>
  <si>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</si>
  <si>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</si>
  <si>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</si>
  <si>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</si>
  <si>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</si>
  <si>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</si>
  <si>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</si>
  <si>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</si>
  <si>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</si>
  <si>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</si>
  <si>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</si>
  <si>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</si>
  <si>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</si>
  <si>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</si>
  <si>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</si>
  <si>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</si>
  <si>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</si>
  <si>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</si>
  <si>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</si>
  <si>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</si>
  <si>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</si>
  <si>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</si>
  <si>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</si>
  <si>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</si>
  <si>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</si>
  <si>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t>Week 53</t>
  </si>
  <si>
    <t>Week 54</t>
  </si>
  <si>
    <r>
      <rPr>
        <b/>
        <sz val="20"/>
        <color theme="1"/>
        <rFont val="Arial"/>
      </rPr>
      <t xml:space="preserve">Weekly Budget Schedule 2027
</t>
    </r>
    <r>
      <rPr>
        <b/>
        <sz val="15"/>
        <color rgb="FF38761D"/>
        <rFont val="Arial"/>
      </rPr>
      <t>REMEMBER: Start the year's Ca$h by typing your $tarting balance into D7</t>
    </r>
  </si>
  <si>
    <t>2026.12.27</t>
  </si>
  <si>
    <r>
      <rPr>
        <b/>
        <sz val="20"/>
        <color theme="1"/>
        <rFont val="Arial"/>
      </rPr>
      <t xml:space="preserve">Weekly Budget Schedule 2028
</t>
    </r>
    <r>
      <rPr>
        <b/>
        <sz val="15"/>
        <color rgb="FF38761D"/>
        <rFont val="Arial"/>
      </rPr>
      <t>REMEMBER: Start the year's Ca$h by typing your $tarting balance into D7</t>
    </r>
  </si>
  <si>
    <t>2027.12.26</t>
  </si>
  <si>
    <r>
      <rPr>
        <b/>
        <sz val="20"/>
        <color theme="1"/>
        <rFont val="Arial"/>
      </rPr>
      <t xml:space="preserve">Weekly Budget Schedule 2029
</t>
    </r>
    <r>
      <rPr>
        <b/>
        <sz val="15"/>
        <color rgb="FF38761D"/>
        <rFont val="Arial"/>
      </rPr>
      <t>REMEMBER: Start the year's Ca$h by typing your $tarting balance into D7</t>
    </r>
  </si>
  <si>
    <t>2028.12.31</t>
  </si>
  <si>
    <r>
      <rPr>
        <b/>
        <sz val="20"/>
        <color theme="1"/>
        <rFont val="Arial"/>
      </rPr>
      <t xml:space="preserve">Weekly Budget Schedule 2030
</t>
    </r>
    <r>
      <rPr>
        <b/>
        <sz val="14"/>
        <color rgb="FF38761D"/>
        <rFont val="Arial"/>
      </rPr>
      <t>REMEMBER: Start the year's Ca$h by typing your $tarting balance into D7</t>
    </r>
  </si>
  <si>
    <t>2029.12.30</t>
  </si>
  <si>
    <r>
      <rPr>
        <b/>
        <sz val="20"/>
        <color theme="1"/>
        <rFont val="Arial"/>
      </rPr>
      <t xml:space="preserve">Weekly Budget Schedule YYYY:
</t>
    </r>
    <r>
      <rPr>
        <b/>
        <i/>
        <sz val="13"/>
        <color rgb="FFFFFFFF"/>
        <rFont val="Arial"/>
      </rPr>
      <t>Fill in the last date of Dec (or Jan 1, if Jan 1 is a Sunday) in the green box: 
Every other date after that will auto-populate thanks to the formulas!</t>
    </r>
  </si>
  <si>
    <r>
      <rPr>
        <b/>
        <u/>
        <sz val="13"/>
        <color rgb="FFFFFFFF"/>
        <rFont val="Arial"/>
      </rPr>
      <t>YYYY.MM</t>
    </r>
    <r>
      <rPr>
        <b/>
        <sz val="13"/>
        <color rgb="FFFFFFFF"/>
        <rFont val="Arial"/>
      </rPr>
      <t>.DD</t>
    </r>
  </si>
  <si>
    <r>
      <t xml:space="preserve">If you're just begining to use this tool, you're likely not in a position to donate.
Hopefully oneday though, this calculating-calendar </t>
    </r>
    <r>
      <rPr>
        <b/>
        <sz val="20"/>
        <color theme="1"/>
        <rFont val="Calibri"/>
        <family val="2"/>
      </rPr>
      <t>budget tool</t>
    </r>
    <r>
      <rPr>
        <sz val="20"/>
        <color theme="1"/>
        <rFont val="Calibri"/>
      </rPr>
      <t xml:space="preserve"> and the </t>
    </r>
    <r>
      <rPr>
        <b/>
        <i/>
        <sz val="20"/>
        <color theme="1"/>
        <rFont val="Calibri"/>
        <family val="2"/>
      </rPr>
      <t>Adulting 101</t>
    </r>
    <r>
      <rPr>
        <i/>
        <sz val="20"/>
        <color theme="1"/>
        <rFont val="Calibri"/>
      </rPr>
      <t xml:space="preserve"> </t>
    </r>
    <r>
      <rPr>
        <sz val="20"/>
        <color theme="1"/>
        <rFont val="Calibri"/>
      </rPr>
      <t xml:space="preserve">guide we gave you
will help you find yourself able to donate to our work.
We provided this resource to you for free,
in order to make your life easier.
If this tool and the guide helps shape your life in positive ways, 
consider what it can do for someone else, 
and then  - possibly - returning to us in the future to make a donation 
You can donate
(no matter how many years it's been since you first recieved your guide and this tool) 
as this link:
</t>
    </r>
    <r>
      <rPr>
        <b/>
        <sz val="48"/>
        <color rgb="FF366092"/>
        <rFont val="Calibri"/>
      </rPr>
      <t>https://projectrealnv.org/donate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</si>
</sst>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yyyy&quot;.&quot;mm&quot;.&quot;dd"/>
  </numFmts>
  <fonts count="26">
    <font>
      <sz val="11"/>
      <color theme="1"/>
      <name val="Calibri"/>
      <scheme val="minor"/>
    </font>
    <font>
      <sz val="11"/>
      <color theme="1"/>
      <name val="Calibri"/>
    </font>
    <font>
      <b/>
      <sz val="20"/>
      <color theme="1"/>
      <name val="Arial"/>
    </font>
    <font>
      <sz val="11"/>
      <name val="Calibri"/>
    </font>
    <font>
      <b/>
      <sz val="13"/>
      <color theme="1"/>
      <name val="Arial"/>
    </font>
    <font>
      <b/>
      <sz val="11"/>
      <color theme="1"/>
      <name val="Calibri"/>
    </font>
    <font>
      <sz val="14"/>
      <color theme="1"/>
      <name val="Calibri"/>
    </font>
    <font>
      <b/>
      <sz val="12"/>
      <color rgb="FFFFFFFF"/>
      <name val="Calibri"/>
    </font>
    <font>
      <sz val="12"/>
      <color theme="1"/>
      <name val="Arial"/>
    </font>
    <font>
      <b/>
      <sz val="26"/>
      <color rgb="FFFFFFFF"/>
      <name val="Calibri"/>
    </font>
    <font>
      <sz val="11"/>
      <color theme="1"/>
      <name val="Calibri"/>
      <scheme val="minor"/>
    </font>
    <font>
      <b/>
      <sz val="13"/>
      <color rgb="FFFFFFFF"/>
      <name val="Arial"/>
    </font>
    <font>
      <b/>
      <sz val="12"/>
      <color theme="1"/>
      <name val="Calibri"/>
    </font>
    <font>
      <i/>
      <sz val="11"/>
      <color theme="1"/>
      <name val="Calibri"/>
    </font>
    <font>
      <sz val="11"/>
      <color theme="0"/>
      <name val="Calibri"/>
    </font>
    <font>
      <b/>
      <u/>
      <sz val="13"/>
      <color rgb="FFFFFFFF"/>
      <name val="Arial"/>
    </font>
    <font>
      <sz val="20"/>
      <color theme="1"/>
      <name val="Calibri"/>
    </font>
    <font>
      <b/>
      <i/>
      <sz val="14"/>
      <color theme="1"/>
      <name val="Calibri"/>
    </font>
    <font>
      <b/>
      <sz val="15"/>
      <color rgb="FF38761D"/>
      <name val="Arial"/>
    </font>
    <font>
      <b/>
      <sz val="14"/>
      <color rgb="FF38761D"/>
      <name val="Arial"/>
    </font>
    <font>
      <b/>
      <i/>
      <sz val="13"/>
      <color rgb="FFFFFFFF"/>
      <name val="Arial"/>
    </font>
    <font>
      <i/>
      <sz val="20"/>
      <color theme="1"/>
      <name val="Calibri"/>
    </font>
    <font>
      <b/>
      <sz val="48"/>
      <color rgb="FF366092"/>
      <name val="Calibri"/>
    </font>
    <font>
      <b/>
      <i/>
      <sz val="20"/>
      <color theme="1"/>
      <name val="Calibri"/>
      <family val="2"/>
    </font>
    <font>
      <b/>
      <sz val="20"/>
      <color theme="1"/>
      <name val="Calibri"/>
      <family val="2"/>
    </font>
    <font>
      <sz val="20"/>
      <color theme="1"/>
      <name val="Calibri"/>
      <family val="2"/>
    </font>
  </fonts>
  <fills count="15">
    <fill>
      <patternFill patternType="none"/>
    </fill>
    <fill>
      <patternFill patternType="gray125"/>
    </fill>
    <fill>
      <patternFill patternType="solid">
        <fgColor rgb="FFD99594"/>
        <bgColor rgb="FFD99594"/>
      </patternFill>
    </fill>
    <fill>
      <patternFill patternType="solid">
        <fgColor rgb="FF000000"/>
        <bgColor rgb="FF000000"/>
      </patternFill>
    </fill>
    <fill>
      <patternFill patternType="solid">
        <fgColor rgb="FFCCCCCC"/>
        <bgColor rgb="FFCCCCCC"/>
      </patternFill>
    </fill>
    <fill>
      <patternFill patternType="solid">
        <fgColor rgb="FFCCC0D9"/>
        <bgColor rgb="FFCCC0D9"/>
      </patternFill>
    </fill>
    <fill>
      <patternFill patternType="solid">
        <fgColor rgb="FFD1DC40"/>
        <bgColor rgb="FFD1DC40"/>
      </patternFill>
    </fill>
    <fill>
      <patternFill patternType="solid">
        <fgColor rgb="FFFBD4B4"/>
        <bgColor rgb="FFFBD4B4"/>
      </patternFill>
    </fill>
    <fill>
      <patternFill patternType="solid">
        <fgColor rgb="FFB6DDE8"/>
        <bgColor rgb="FFB6DDE8"/>
      </patternFill>
    </fill>
    <fill>
      <patternFill patternType="solid">
        <fgColor rgb="FFD6E3BC"/>
        <bgColor rgb="FFD6E3BC"/>
      </patternFill>
    </fill>
    <fill>
      <patternFill patternType="solid">
        <fgColor rgb="FFFFFFFF"/>
        <bgColor rgb="FFFFFFFF"/>
      </patternFill>
    </fill>
    <fill>
      <patternFill patternType="solid">
        <fgColor rgb="FFFF33CC"/>
        <bgColor rgb="FFFF33CC"/>
      </patternFill>
    </fill>
    <fill>
      <patternFill patternType="solid">
        <fgColor rgb="FF274E13"/>
        <bgColor rgb="FF274E13"/>
      </patternFill>
    </fill>
    <fill>
      <patternFill patternType="solid">
        <fgColor rgb="FF93C47D"/>
        <bgColor rgb="FF93C47D"/>
      </patternFill>
    </fill>
    <fill>
      <patternFill patternType="solid">
        <fgColor theme="0"/>
        <bgColor theme="0"/>
      </patternFill>
    </fill>
  </fills>
  <borders count="71">
    <border>
      <left/>
      <right/>
      <top/>
      <bottom/>
      <diagonal/>
    </border>
    <border>
      <left style="thick">
        <color rgb="FF000000"/>
      </left>
      <right style="thick">
        <color rgb="FF000000"/>
      </right>
      <top style="thick">
        <color rgb="FF000000"/>
      </top>
      <bottom style="thin">
        <color rgb="FF000000"/>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style="thick">
        <color rgb="FF000000"/>
      </bottom>
      <diagonal/>
    </border>
    <border>
      <left/>
      <right style="thick">
        <color rgb="FF000000"/>
      </right>
      <top style="thin">
        <color rgb="FF000000"/>
      </top>
      <bottom style="thin">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ck">
        <color rgb="FF000000"/>
      </right>
      <top style="thin">
        <color rgb="FF000000"/>
      </top>
      <bottom style="thin">
        <color rgb="FF000000"/>
      </bottom>
      <diagonal/>
    </border>
    <border>
      <left style="thick">
        <color rgb="FF000000"/>
      </left>
      <right/>
      <top/>
      <bottom/>
      <diagonal/>
    </border>
    <border>
      <left/>
      <right style="thick">
        <color rgb="FF000000"/>
      </right>
      <top/>
      <bottom/>
      <diagonal/>
    </border>
    <border>
      <left/>
      <right style="thick">
        <color rgb="FF000000"/>
      </right>
      <top style="thin">
        <color rgb="FF000000"/>
      </top>
      <bottom/>
      <diagonal/>
    </border>
    <border>
      <left/>
      <right style="thick">
        <color rgb="FF000000"/>
      </right>
      <top style="thin">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ck">
        <color rgb="FF000000"/>
      </right>
      <top style="thick">
        <color rgb="FF000000"/>
      </top>
      <bottom style="thin">
        <color rgb="FF000000"/>
      </bottom>
      <diagonal/>
    </border>
    <border>
      <left/>
      <right style="thin">
        <color rgb="FF000000"/>
      </right>
      <top/>
      <bottom style="thin">
        <color rgb="FF000000"/>
      </bottom>
      <diagonal/>
    </border>
    <border>
      <left style="thick">
        <color rgb="FF000000"/>
      </left>
      <right style="thin">
        <color rgb="FF000000"/>
      </right>
      <top/>
      <bottom style="thin">
        <color rgb="FF000000"/>
      </bottom>
      <diagonal/>
    </border>
    <border>
      <left style="thin">
        <color rgb="FF000000"/>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ck">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ck">
        <color rgb="FF000000"/>
      </right>
      <top style="thin">
        <color rgb="FF000000"/>
      </top>
      <bottom style="medium">
        <color rgb="FF000000"/>
      </bottom>
      <diagonal/>
    </border>
    <border>
      <left style="thin">
        <color rgb="FF000000"/>
      </left>
      <right style="thick">
        <color rgb="FF000000"/>
      </right>
      <top style="thin">
        <color rgb="FF000000"/>
      </top>
      <bottom/>
      <diagonal/>
    </border>
    <border>
      <left style="thin">
        <color rgb="FF000000"/>
      </left>
      <right style="thick">
        <color rgb="FF000000"/>
      </right>
      <top style="thin">
        <color rgb="FF000000"/>
      </top>
      <bottom style="thick">
        <color rgb="FF000000"/>
      </bottom>
      <diagonal/>
    </border>
    <border>
      <left style="thin">
        <color rgb="FF000000"/>
      </left>
      <right style="thick">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ck">
        <color rgb="FF000000"/>
      </left>
      <right style="thick">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ck">
        <color rgb="FF000000"/>
      </left>
      <right/>
      <top style="thin">
        <color rgb="FF000000"/>
      </top>
      <bottom style="thin">
        <color rgb="FF000000"/>
      </bottom>
      <diagonal/>
    </border>
    <border>
      <left/>
      <right/>
      <top style="thin">
        <color rgb="FF000000"/>
      </top>
      <bottom style="thin">
        <color rgb="FF000000"/>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n">
        <color rgb="FF000000"/>
      </left>
      <right style="thick">
        <color rgb="FF000000"/>
      </right>
      <top/>
      <bottom/>
      <diagonal/>
    </border>
    <border>
      <left style="thick">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right/>
      <top/>
      <bottom/>
      <diagonal/>
    </border>
    <border>
      <left/>
      <right style="thin">
        <color rgb="FF000000"/>
      </right>
      <top style="thin">
        <color rgb="FF000000"/>
      </top>
      <bottom style="thick">
        <color rgb="FF000000"/>
      </bottom>
      <diagonal/>
    </border>
    <border>
      <left style="thin">
        <color rgb="FF000000"/>
      </left>
      <right style="medium">
        <color rgb="FF000000"/>
      </right>
      <top style="thick">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ck">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ck">
        <color rgb="FF000000"/>
      </top>
      <bottom style="thick">
        <color rgb="FF000000"/>
      </bottom>
      <diagonal/>
    </border>
    <border>
      <left/>
      <right/>
      <top style="thick">
        <color rgb="FF000000"/>
      </top>
      <bottom style="thick">
        <color rgb="FF000000"/>
      </bottom>
      <diagonal/>
    </border>
    <border>
      <left style="thick">
        <color rgb="FF000000"/>
      </left>
      <right style="thick">
        <color rgb="FF000000"/>
      </right>
      <top style="thin">
        <color rgb="FF000000"/>
      </top>
      <bottom style="medium">
        <color rgb="FF000000"/>
      </bottom>
      <diagonal/>
    </border>
  </borders>
  <cellStyleXfs count="1">
    <xf numFmtId="0" fontId="0" fillId="0" borderId="0"/>
  </cellStyleXfs>
  <cellXfs count="185">
    <xf numFmtId="0" fontId="0" fillId="0" borderId="0" xfId="0"/>
    <xf numFmtId="0" fontId="1" fillId="0" borderId="0" xfId="0" applyFont="1"/>
    <xf numFmtId="2" fontId="1" fillId="0" borderId="0" xfId="0" applyNumberFormat="1" applyFont="1"/>
    <xf numFmtId="0" fontId="10" fillId="0" borderId="0" xfId="0" applyFont="1"/>
    <xf numFmtId="0" fontId="14" fillId="14" borderId="58" xfId="0" applyFont="1" applyFill="1" applyBorder="1"/>
    <xf numFmtId="49" fontId="1" fillId="3" borderId="6" xfId="0" applyNumberFormat="1" applyFont="1" applyFill="1" applyBorder="1" applyAlignment="1">
      <alignment horizontal="center" vertical="center" wrapText="1"/>
    </xf>
    <xf numFmtId="0" fontId="1" fillId="0" borderId="70" xfId="0" applyFont="1" applyBorder="1"/>
    <xf numFmtId="2" fontId="7" fillId="3" borderId="6" xfId="0" applyNumberFormat="1" applyFont="1" applyFill="1" applyBorder="1" applyAlignment="1">
      <alignment horizontal="center" vertical="center" wrapText="1"/>
    </xf>
    <xf numFmtId="0" fontId="1" fillId="4" borderId="50"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1" fillId="4" borderId="52" xfId="0" applyFont="1" applyFill="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52" xfId="0" applyFont="1" applyBorder="1" applyAlignment="1">
      <alignment horizontal="center" vertical="center" wrapText="1"/>
    </xf>
    <xf numFmtId="2" fontId="8" fillId="0" borderId="10" xfId="0" applyNumberFormat="1" applyFont="1" applyBorder="1" applyAlignment="1">
      <alignment horizontal="center" vertical="center" wrapText="1"/>
    </xf>
    <xf numFmtId="0" fontId="1" fillId="4" borderId="36" xfId="0" applyFont="1" applyFill="1" applyBorder="1" applyAlignment="1">
      <alignment horizontal="center" vertical="center" wrapText="1"/>
    </xf>
    <xf numFmtId="0" fontId="5" fillId="0" borderId="18"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4" borderId="25" xfId="0" applyFont="1" applyFill="1" applyBorder="1" applyAlignment="1">
      <alignment horizontal="center" vertical="center" wrapText="1"/>
    </xf>
    <xf numFmtId="0" fontId="1" fillId="0" borderId="43" xfId="0" applyFont="1" applyBorder="1" applyAlignment="1">
      <alignment horizontal="center"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1" fillId="0" borderId="19" xfId="0" applyFont="1" applyBorder="1" applyAlignment="1">
      <alignment horizontal="center" vertical="center" wrapText="1"/>
    </xf>
    <xf numFmtId="0" fontId="12" fillId="13" borderId="18" xfId="0" applyFont="1" applyFill="1" applyBorder="1" applyAlignment="1">
      <alignment horizontal="center" vertical="center" wrapText="1"/>
    </xf>
    <xf numFmtId="0" fontId="1" fillId="13" borderId="25" xfId="0" applyFont="1" applyFill="1" applyBorder="1" applyAlignment="1">
      <alignment horizontal="center" vertical="center" wrapText="1"/>
    </xf>
    <xf numFmtId="0" fontId="1" fillId="0" borderId="25" xfId="0" applyFont="1" applyBorder="1" applyAlignment="1">
      <alignment horizontal="center" vertical="center" wrapText="1"/>
    </xf>
    <xf numFmtId="0" fontId="5" fillId="13" borderId="18" xfId="0" applyFont="1" applyFill="1" applyBorder="1" applyAlignment="1">
      <alignment horizontal="center" vertical="center" wrapText="1"/>
    </xf>
    <xf numFmtId="0" fontId="13" fillId="0" borderId="18" xfId="0" applyFont="1" applyBorder="1" applyAlignment="1">
      <alignment horizontal="center" vertical="center" wrapText="1"/>
    </xf>
    <xf numFmtId="0" fontId="1" fillId="4" borderId="34" xfId="0" applyFont="1" applyFill="1" applyBorder="1" applyAlignment="1">
      <alignment horizontal="center" vertical="center" wrapText="1"/>
    </xf>
    <xf numFmtId="0" fontId="1" fillId="0" borderId="53" xfId="0" applyFont="1" applyBorder="1" applyAlignment="1">
      <alignment horizontal="center" vertical="center" wrapText="1"/>
    </xf>
    <xf numFmtId="0" fontId="1" fillId="0" borderId="29" xfId="0" applyFont="1" applyBorder="1" applyAlignment="1">
      <alignment horizontal="center" vertical="center" wrapText="1"/>
    </xf>
    <xf numFmtId="0" fontId="1" fillId="6" borderId="6" xfId="0" applyFont="1" applyFill="1" applyBorder="1" applyAlignment="1">
      <alignment horizontal="center" vertical="center" wrapText="1"/>
    </xf>
    <xf numFmtId="0" fontId="1" fillId="7" borderId="10" xfId="0" applyFont="1" applyFill="1" applyBorder="1" applyAlignment="1">
      <alignment horizontal="center" vertical="center" wrapText="1"/>
    </xf>
    <xf numFmtId="0" fontId="1" fillId="0" borderId="24" xfId="0" applyFont="1" applyBorder="1" applyAlignment="1">
      <alignment horizontal="center" vertical="center" wrapText="1"/>
    </xf>
    <xf numFmtId="0" fontId="1" fillId="4" borderId="21" xfId="0" applyFont="1" applyFill="1" applyBorder="1" applyAlignment="1">
      <alignment horizontal="center" vertical="center" wrapText="1"/>
    </xf>
    <xf numFmtId="0" fontId="1" fillId="0" borderId="22" xfId="0" applyFont="1" applyBorder="1" applyAlignment="1">
      <alignment horizontal="center" vertical="center" wrapText="1"/>
    </xf>
    <xf numFmtId="0" fontId="1" fillId="0" borderId="18" xfId="0" applyFont="1" applyBorder="1" applyAlignment="1">
      <alignment horizontal="center" vertical="center" wrapText="1"/>
    </xf>
    <xf numFmtId="0" fontId="1" fillId="4" borderId="19" xfId="0" applyFont="1" applyFill="1" applyBorder="1" applyAlignment="1">
      <alignment horizontal="center" vertical="center" wrapText="1"/>
    </xf>
    <xf numFmtId="0" fontId="1" fillId="0" borderId="34" xfId="0" applyFont="1" applyBorder="1" applyAlignment="1">
      <alignment horizontal="center" vertical="center" wrapText="1"/>
    </xf>
    <xf numFmtId="0" fontId="1" fillId="4" borderId="29" xfId="0" applyFont="1" applyFill="1" applyBorder="1" applyAlignment="1">
      <alignment horizontal="center" vertical="center" wrapText="1"/>
    </xf>
    <xf numFmtId="0" fontId="1" fillId="8" borderId="42" xfId="0" applyFont="1" applyFill="1" applyBorder="1" applyAlignment="1">
      <alignment horizontal="center" vertical="center" wrapText="1"/>
    </xf>
    <xf numFmtId="0" fontId="1" fillId="4" borderId="20" xfId="0" applyFont="1" applyFill="1" applyBorder="1" applyAlignment="1">
      <alignment horizontal="center" vertical="center" wrapText="1"/>
    </xf>
    <xf numFmtId="6" fontId="1" fillId="8" borderId="6" xfId="0" applyNumberFormat="1" applyFont="1" applyFill="1" applyBorder="1" applyAlignment="1">
      <alignment horizontal="center" vertical="center" wrapText="1"/>
    </xf>
    <xf numFmtId="0" fontId="1" fillId="4" borderId="18" xfId="0" applyFont="1" applyFill="1" applyBorder="1" applyAlignment="1">
      <alignment horizontal="center" vertical="center" wrapText="1"/>
    </xf>
    <xf numFmtId="0" fontId="1" fillId="4" borderId="38" xfId="0" applyFont="1" applyFill="1" applyBorder="1" applyAlignment="1">
      <alignment horizontal="center" vertical="center" wrapText="1"/>
    </xf>
    <xf numFmtId="0" fontId="1" fillId="4" borderId="40" xfId="0" applyFont="1" applyFill="1" applyBorder="1" applyAlignment="1">
      <alignment horizontal="center" vertical="center" wrapText="1"/>
    </xf>
    <xf numFmtId="49" fontId="8" fillId="0" borderId="10" xfId="0" applyNumberFormat="1" applyFont="1" applyBorder="1" applyAlignment="1">
      <alignment horizontal="center" vertical="center" wrapText="1"/>
    </xf>
    <xf numFmtId="0" fontId="1" fillId="0" borderId="41" xfId="0" applyFont="1" applyBorder="1" applyAlignment="1">
      <alignment horizontal="center" vertical="center" wrapText="1"/>
    </xf>
    <xf numFmtId="0" fontId="1" fillId="0" borderId="44" xfId="0" applyFont="1" applyBorder="1" applyAlignment="1">
      <alignment horizontal="center" vertical="center" wrapText="1"/>
    </xf>
    <xf numFmtId="0" fontId="1" fillId="4" borderId="45" xfId="0" applyFont="1" applyFill="1" applyBorder="1" applyAlignment="1">
      <alignment horizontal="center" vertical="center" wrapText="1"/>
    </xf>
    <xf numFmtId="49" fontId="1" fillId="0" borderId="10" xfId="0" applyNumberFormat="1" applyFont="1" applyBorder="1" applyAlignment="1">
      <alignment horizontal="center" vertical="center" wrapText="1"/>
    </xf>
    <xf numFmtId="0" fontId="1" fillId="8" borderId="18" xfId="0" applyFont="1" applyFill="1" applyBorder="1" applyAlignment="1">
      <alignment horizontal="center" vertical="center" wrapText="1"/>
    </xf>
    <xf numFmtId="0" fontId="1" fillId="0" borderId="35" xfId="0" applyFont="1" applyBorder="1" applyAlignment="1">
      <alignment horizontal="center" vertical="center" wrapText="1"/>
    </xf>
    <xf numFmtId="0" fontId="1" fillId="4" borderId="22" xfId="0" applyFont="1" applyFill="1" applyBorder="1" applyAlignment="1">
      <alignment horizontal="center" vertical="center" wrapText="1"/>
    </xf>
    <xf numFmtId="0" fontId="1" fillId="4" borderId="35" xfId="0" applyFont="1" applyFill="1" applyBorder="1" applyAlignment="1">
      <alignment horizontal="center" vertical="center" wrapText="1"/>
    </xf>
    <xf numFmtId="0" fontId="1" fillId="4" borderId="60" xfId="0" applyFont="1" applyFill="1" applyBorder="1" applyAlignment="1">
      <alignment horizontal="center" vertical="center" wrapText="1"/>
    </xf>
    <xf numFmtId="0" fontId="1" fillId="4" borderId="61" xfId="0" applyFont="1" applyFill="1" applyBorder="1" applyAlignment="1">
      <alignment horizontal="center" vertical="center" wrapText="1"/>
    </xf>
    <xf numFmtId="0" fontId="1" fillId="4" borderId="62" xfId="0" applyFont="1" applyFill="1" applyBorder="1" applyAlignment="1">
      <alignment horizontal="center" vertical="center" wrapText="1"/>
    </xf>
    <xf numFmtId="0" fontId="1" fillId="0" borderId="33" xfId="0" applyFont="1" applyBorder="1" applyAlignment="1">
      <alignment horizontal="center" vertical="center" wrapText="1"/>
    </xf>
    <xf numFmtId="0" fontId="1" fillId="4" borderId="33" xfId="0" applyFont="1" applyFill="1" applyBorder="1" applyAlignment="1">
      <alignment horizontal="center" vertical="center" wrapText="1"/>
    </xf>
    <xf numFmtId="0" fontId="1" fillId="4" borderId="32" xfId="0" applyFont="1" applyFill="1" applyBorder="1" applyAlignment="1">
      <alignment horizontal="center" vertical="center" wrapText="1"/>
    </xf>
    <xf numFmtId="0" fontId="1" fillId="0" borderId="67" xfId="0" applyFont="1" applyBorder="1" applyAlignment="1">
      <alignment horizontal="center" vertical="center" wrapText="1"/>
    </xf>
    <xf numFmtId="0" fontId="12" fillId="4" borderId="18"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3" fillId="0" borderId="3" xfId="0" applyFont="1" applyBorder="1"/>
    <xf numFmtId="0" fontId="3" fillId="0" borderId="4" xfId="0" applyFont="1" applyBorder="1"/>
    <xf numFmtId="0" fontId="4" fillId="2" borderId="2"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3" fillId="0" borderId="11" xfId="0" applyFont="1" applyBorder="1"/>
    <xf numFmtId="0" fontId="0" fillId="0" borderId="0" xfId="0"/>
    <xf numFmtId="0" fontId="3" fillId="0" borderId="15" xfId="0" applyFont="1" applyBorder="1"/>
    <xf numFmtId="0" fontId="3" fillId="0" borderId="16" xfId="0" applyFont="1" applyBorder="1"/>
    <xf numFmtId="0" fontId="2" fillId="0" borderId="2" xfId="0" applyFont="1" applyBorder="1" applyAlignment="1">
      <alignment horizontal="center" vertical="center" wrapText="1"/>
    </xf>
    <xf numFmtId="0" fontId="4" fillId="14" borderId="2" xfId="0" applyFont="1" applyFill="1" applyBorder="1" applyAlignment="1">
      <alignment horizontal="center" vertical="center" wrapText="1"/>
    </xf>
    <xf numFmtId="0" fontId="4" fillId="14" borderId="68" xfId="0" applyFont="1" applyFill="1" applyBorder="1" applyAlignment="1">
      <alignment horizontal="center" vertical="center" wrapText="1"/>
    </xf>
    <xf numFmtId="0" fontId="3" fillId="0" borderId="69" xfId="0" applyFont="1" applyBorder="1"/>
    <xf numFmtId="164" fontId="4" fillId="10" borderId="2" xfId="0" applyNumberFormat="1" applyFont="1" applyFill="1" applyBorder="1" applyAlignment="1">
      <alignment horizontal="center" vertical="center" wrapText="1"/>
    </xf>
    <xf numFmtId="0" fontId="11" fillId="12" borderId="2" xfId="0" applyFont="1" applyFill="1" applyBorder="1" applyAlignment="1">
      <alignment horizontal="center" vertical="center" wrapText="1"/>
    </xf>
    <xf numFmtId="0" fontId="2" fillId="13" borderId="2" xfId="0" applyFont="1" applyFill="1" applyBorder="1" applyAlignment="1">
      <alignment horizontal="center" vertical="center" wrapText="1"/>
    </xf>
    <xf numFmtId="0" fontId="15" fillId="12" borderId="2"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2" fontId="1" fillId="0" borderId="0" xfId="0" applyNumberFormat="1" applyFont="1" applyAlignment="1">
      <alignment horizontal="center" vertical="center"/>
    </xf>
    <xf numFmtId="0" fontId="5" fillId="0" borderId="1" xfId="0" applyFont="1" applyBorder="1" applyAlignment="1">
      <alignment horizontal="center" vertical="center"/>
    </xf>
    <xf numFmtId="49" fontId="1" fillId="3" borderId="6" xfId="0" applyNumberFormat="1" applyFont="1" applyFill="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5" fillId="0" borderId="10" xfId="0" applyFont="1" applyBorder="1" applyAlignment="1">
      <alignment horizontal="center" vertical="center"/>
    </xf>
    <xf numFmtId="2" fontId="1" fillId="0" borderId="10" xfId="0" applyNumberFormat="1" applyFont="1" applyBorder="1" applyAlignment="1">
      <alignment horizontal="center" vertical="center"/>
    </xf>
    <xf numFmtId="0" fontId="3" fillId="0" borderId="11" xfId="0" applyFont="1" applyBorder="1" applyAlignment="1">
      <alignment horizontal="center" vertical="center"/>
    </xf>
    <xf numFmtId="0" fontId="0" fillId="0" borderId="0" xfId="0" applyAlignment="1">
      <alignment horizontal="center" vertical="center"/>
    </xf>
    <xf numFmtId="0" fontId="3" fillId="0" borderId="12" xfId="0" applyFont="1" applyBorder="1" applyAlignment="1">
      <alignment horizontal="center" vertical="center"/>
    </xf>
    <xf numFmtId="0" fontId="1" fillId="0" borderId="10" xfId="0" applyFont="1" applyBorder="1" applyAlignment="1">
      <alignment horizontal="center" vertical="center"/>
    </xf>
    <xf numFmtId="0" fontId="5" fillId="5" borderId="6"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1" fillId="0" borderId="13" xfId="0" applyFont="1" applyBorder="1" applyAlignment="1">
      <alignment horizontal="center" vertical="center"/>
    </xf>
    <xf numFmtId="0" fontId="5" fillId="9" borderId="14" xfId="0" applyFont="1" applyFill="1" applyBorder="1" applyAlignment="1">
      <alignment horizontal="center" vertical="center"/>
    </xf>
    <xf numFmtId="0" fontId="1" fillId="9" borderId="14" xfId="0" applyFont="1" applyFill="1" applyBorder="1" applyAlignment="1">
      <alignment horizontal="center" vertical="center"/>
    </xf>
    <xf numFmtId="0" fontId="1" fillId="8" borderId="6" xfId="0" applyFont="1" applyFill="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4" borderId="21" xfId="0" applyFont="1" applyFill="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4" xfId="0" applyFont="1" applyBorder="1" applyAlignment="1">
      <alignment horizontal="center" vertical="center"/>
    </xf>
    <xf numFmtId="0" fontId="1" fillId="4" borderId="24" xfId="0" applyFont="1" applyFill="1" applyBorder="1" applyAlignment="1">
      <alignment horizontal="center" vertical="center"/>
    </xf>
    <xf numFmtId="49" fontId="1" fillId="0" borderId="10" xfId="0" applyNumberFormat="1" applyFont="1" applyBorder="1" applyAlignment="1">
      <alignment horizontal="center" vertical="center"/>
    </xf>
    <xf numFmtId="0" fontId="5" fillId="5" borderId="26" xfId="0" applyFont="1" applyFill="1" applyBorder="1" applyAlignment="1">
      <alignment horizontal="center" vertical="center" wrapText="1"/>
    </xf>
    <xf numFmtId="0" fontId="1" fillId="0" borderId="27" xfId="0" applyFont="1" applyBorder="1" applyAlignment="1">
      <alignment horizontal="center" vertical="center"/>
    </xf>
    <xf numFmtId="0" fontId="1" fillId="4" borderId="19" xfId="0" applyFont="1" applyFill="1" applyBorder="1" applyAlignment="1">
      <alignment horizontal="center" vertical="center"/>
    </xf>
    <xf numFmtId="0" fontId="1" fillId="4" borderId="18" xfId="0" applyFont="1" applyFill="1" applyBorder="1" applyAlignment="1">
      <alignment horizontal="center" vertical="center"/>
    </xf>
    <xf numFmtId="6" fontId="5" fillId="0" borderId="18" xfId="0" applyNumberFormat="1" applyFont="1" applyBorder="1" applyAlignment="1">
      <alignment horizontal="center" vertical="center" wrapText="1"/>
    </xf>
    <xf numFmtId="0" fontId="1" fillId="5" borderId="6" xfId="0" applyFont="1" applyFill="1" applyBorder="1" applyAlignment="1">
      <alignment horizontal="center" vertical="center"/>
    </xf>
    <xf numFmtId="0" fontId="5" fillId="0" borderId="19" xfId="0" applyFont="1" applyBorder="1" applyAlignment="1">
      <alignment horizontal="center" vertical="center" wrapText="1"/>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0" borderId="30" xfId="0" applyFont="1" applyBorder="1" applyAlignment="1">
      <alignment horizontal="center" vertical="center"/>
    </xf>
    <xf numFmtId="0" fontId="1" fillId="6" borderId="6" xfId="0" applyFont="1" applyFill="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4" borderId="29" xfId="0" applyFont="1" applyFill="1" applyBorder="1" applyAlignment="1">
      <alignment horizontal="center" vertical="center"/>
    </xf>
    <xf numFmtId="0" fontId="1" fillId="7" borderId="6" xfId="0" applyFont="1" applyFill="1" applyBorder="1" applyAlignment="1">
      <alignment horizontal="center" vertical="center"/>
    </xf>
    <xf numFmtId="0" fontId="4" fillId="10" borderId="2" xfId="0" applyFont="1" applyFill="1" applyBorder="1" applyAlignment="1">
      <alignment horizontal="center" vertical="center" wrapText="1"/>
    </xf>
    <xf numFmtId="0" fontId="1" fillId="8" borderId="10" xfId="0" applyFont="1" applyFill="1" applyBorder="1" applyAlignment="1">
      <alignment horizontal="center" vertical="center"/>
    </xf>
    <xf numFmtId="0" fontId="1" fillId="4" borderId="37" xfId="0" applyFont="1" applyFill="1" applyBorder="1" applyAlignment="1">
      <alignment horizontal="center" vertical="center"/>
    </xf>
    <xf numFmtId="0" fontId="1" fillId="4" borderId="26" xfId="0" applyFont="1" applyFill="1" applyBorder="1" applyAlignment="1">
      <alignment horizontal="center" vertical="center"/>
    </xf>
    <xf numFmtId="0" fontId="5" fillId="8" borderId="18"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1" fillId="4" borderId="38" xfId="0" applyFont="1" applyFill="1" applyBorder="1" applyAlignment="1">
      <alignment horizontal="center" vertical="center"/>
    </xf>
    <xf numFmtId="0" fontId="1" fillId="4" borderId="26" xfId="0" applyFont="1" applyFill="1" applyBorder="1" applyAlignment="1">
      <alignment horizontal="center" vertical="center" wrapText="1"/>
    </xf>
    <xf numFmtId="0" fontId="1" fillId="0" borderId="28" xfId="0" applyFont="1" applyBorder="1" applyAlignment="1">
      <alignment horizontal="center" vertical="center" wrapText="1"/>
    </xf>
    <xf numFmtId="0" fontId="1" fillId="8" borderId="6" xfId="0" applyFont="1" applyFill="1" applyBorder="1" applyAlignment="1">
      <alignment horizontal="center" vertical="center"/>
    </xf>
    <xf numFmtId="0" fontId="1" fillId="4" borderId="39" xfId="0" applyFont="1" applyFill="1" applyBorder="1" applyAlignment="1">
      <alignment horizontal="center" vertical="center"/>
    </xf>
    <xf numFmtId="0" fontId="1" fillId="4" borderId="40" xfId="0" applyFont="1" applyFill="1" applyBorder="1" applyAlignment="1">
      <alignment horizontal="center" vertical="center"/>
    </xf>
    <xf numFmtId="6" fontId="1" fillId="8" borderId="6" xfId="0" applyNumberFormat="1" applyFont="1" applyFill="1" applyBorder="1" applyAlignment="1">
      <alignment horizontal="center" vertical="center"/>
    </xf>
    <xf numFmtId="0" fontId="1" fillId="0" borderId="42" xfId="0" applyFont="1" applyBorder="1" applyAlignment="1">
      <alignment horizontal="center" vertical="center"/>
    </xf>
    <xf numFmtId="0" fontId="1" fillId="5" borderId="19" xfId="0" applyFont="1" applyFill="1" applyBorder="1" applyAlignment="1">
      <alignment horizontal="center" vertical="center"/>
    </xf>
    <xf numFmtId="0" fontId="1" fillId="5" borderId="19"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1" fillId="7" borderId="19"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1" fillId="4" borderId="46" xfId="0" applyFont="1" applyFill="1" applyBorder="1" applyAlignment="1">
      <alignment horizontal="center" vertical="center"/>
    </xf>
    <xf numFmtId="0" fontId="1" fillId="4" borderId="47" xfId="0" applyFont="1" applyFill="1" applyBorder="1" applyAlignment="1">
      <alignment horizontal="center" vertical="center"/>
    </xf>
    <xf numFmtId="6" fontId="1" fillId="8" borderId="18" xfId="0" applyNumberFormat="1" applyFont="1" applyFill="1" applyBorder="1" applyAlignment="1">
      <alignment horizontal="center" vertical="center" wrapText="1"/>
    </xf>
    <xf numFmtId="0" fontId="5" fillId="11" borderId="18" xfId="0" applyFont="1" applyFill="1" applyBorder="1" applyAlignment="1">
      <alignment horizontal="center" vertical="center" wrapText="1"/>
    </xf>
    <xf numFmtId="0" fontId="1" fillId="11" borderId="18" xfId="0" applyFont="1" applyFill="1" applyBorder="1" applyAlignment="1">
      <alignment horizontal="center" vertical="center"/>
    </xf>
    <xf numFmtId="0" fontId="1" fillId="4" borderId="28" xfId="0" applyFont="1" applyFill="1" applyBorder="1" applyAlignment="1">
      <alignment horizontal="center" vertical="center"/>
    </xf>
    <xf numFmtId="0" fontId="1" fillId="4" borderId="43" xfId="0" applyFont="1" applyFill="1" applyBorder="1" applyAlignment="1">
      <alignment horizontal="center" vertical="center" wrapText="1"/>
    </xf>
    <xf numFmtId="0" fontId="1" fillId="5" borderId="18" xfId="0" applyFont="1" applyFill="1" applyBorder="1" applyAlignment="1">
      <alignment horizontal="center" vertical="center" wrapText="1"/>
    </xf>
    <xf numFmtId="0" fontId="1" fillId="4" borderId="32" xfId="0" applyFont="1" applyFill="1" applyBorder="1" applyAlignment="1">
      <alignment horizontal="center" vertical="center"/>
    </xf>
    <xf numFmtId="49" fontId="9" fillId="3" borderId="48" xfId="0" applyNumberFormat="1" applyFont="1" applyFill="1" applyBorder="1" applyAlignment="1">
      <alignment horizontal="center" vertical="center" wrapText="1"/>
    </xf>
    <xf numFmtId="0" fontId="3" fillId="0" borderId="49" xfId="0" applyFont="1" applyBorder="1" applyAlignment="1">
      <alignment horizontal="center" vertical="center"/>
    </xf>
    <xf numFmtId="0" fontId="3" fillId="0" borderId="10" xfId="0" applyFont="1" applyBorder="1" applyAlignment="1">
      <alignment horizontal="center" vertical="center"/>
    </xf>
    <xf numFmtId="0" fontId="1" fillId="13" borderId="19" xfId="0" applyFont="1" applyFill="1" applyBorder="1" applyAlignment="1">
      <alignment horizontal="center" vertical="center"/>
    </xf>
    <xf numFmtId="2" fontId="1" fillId="3" borderId="6" xfId="0" applyNumberFormat="1" applyFont="1" applyFill="1" applyBorder="1" applyAlignment="1">
      <alignment horizontal="center" vertical="center"/>
    </xf>
    <xf numFmtId="0" fontId="1" fillId="4" borderId="54" xfId="0" applyFont="1" applyFill="1" applyBorder="1" applyAlignment="1">
      <alignment horizontal="center" vertical="center"/>
    </xf>
    <xf numFmtId="0" fontId="1" fillId="4" borderId="55" xfId="0" applyFont="1" applyFill="1" applyBorder="1" applyAlignment="1">
      <alignment horizontal="center" vertical="center"/>
    </xf>
    <xf numFmtId="20" fontId="1" fillId="4" borderId="18" xfId="0" applyNumberFormat="1"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41" xfId="0" applyFont="1" applyBorder="1" applyAlignment="1">
      <alignment horizontal="center" vertical="center"/>
    </xf>
    <xf numFmtId="6" fontId="1" fillId="8" borderId="42" xfId="0" applyNumberFormat="1" applyFont="1" applyFill="1" applyBorder="1" applyAlignment="1">
      <alignment horizontal="center" vertical="center"/>
    </xf>
    <xf numFmtId="0" fontId="1" fillId="0" borderId="43" xfId="0" applyFont="1" applyBorder="1" applyAlignment="1">
      <alignment horizontal="center" vertical="center"/>
    </xf>
    <xf numFmtId="0" fontId="1" fillId="0" borderId="44" xfId="0" applyFont="1" applyBorder="1" applyAlignment="1">
      <alignment horizontal="center" vertical="center"/>
    </xf>
    <xf numFmtId="6" fontId="1" fillId="8" borderId="18" xfId="0" applyNumberFormat="1" applyFont="1" applyFill="1" applyBorder="1" applyAlignment="1">
      <alignment horizontal="center" vertical="center"/>
    </xf>
    <xf numFmtId="0" fontId="1" fillId="4" borderId="45" xfId="0" applyFont="1" applyFill="1" applyBorder="1" applyAlignment="1">
      <alignment horizontal="center" vertical="center"/>
    </xf>
    <xf numFmtId="0" fontId="1" fillId="4" borderId="59" xfId="0" applyFont="1" applyFill="1" applyBorder="1" applyAlignment="1">
      <alignment horizontal="center" vertical="center"/>
    </xf>
    <xf numFmtId="0" fontId="1" fillId="4" borderId="57" xfId="0" applyFont="1" applyFill="1" applyBorder="1" applyAlignment="1">
      <alignment horizontal="center" vertical="center"/>
    </xf>
    <xf numFmtId="0" fontId="1" fillId="4" borderId="63" xfId="0" applyFont="1" applyFill="1" applyBorder="1" applyAlignment="1">
      <alignment horizontal="center" vertical="center"/>
    </xf>
    <xf numFmtId="0" fontId="1" fillId="4" borderId="64" xfId="0" applyFont="1" applyFill="1" applyBorder="1" applyAlignment="1">
      <alignment horizontal="center" vertical="center"/>
    </xf>
    <xf numFmtId="0" fontId="1" fillId="4" borderId="65" xfId="0" applyFont="1" applyFill="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66" xfId="0" applyFont="1" applyBorder="1" applyAlignment="1">
      <alignment horizontal="center" vertical="center"/>
    </xf>
    <xf numFmtId="0" fontId="3" fillId="0" borderId="69" xfId="0" applyFont="1" applyBorder="1" applyAlignment="1">
      <alignment horizontal="center" vertical="center"/>
    </xf>
    <xf numFmtId="0" fontId="1" fillId="0" borderId="70" xfId="0" applyFont="1" applyBorder="1" applyAlignment="1">
      <alignment horizontal="center" vertical="center"/>
    </xf>
    <xf numFmtId="0" fontId="25" fillId="0" borderId="1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hyperlink" Target="http://yyyy.m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12"/>
  <sheetViews>
    <sheetView tabSelected="1" zoomScale="70" zoomScaleNormal="70" workbookViewId="0">
      <selection activeCell="B3" sqref="B3:V26"/>
    </sheetView>
  </sheetViews>
  <sheetFormatPr defaultColWidth="14.453125" defaultRowHeight="15" customHeight="1"/>
  <cols>
    <col min="1" max="1" width="18.08984375" customWidth="1"/>
    <col min="2" max="2" width="15.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5" ht="51" customHeight="1">
      <c r="A1" s="83"/>
      <c r="B1" s="73" t="s">
        <v>0</v>
      </c>
      <c r="C1" s="81"/>
      <c r="D1" s="81"/>
      <c r="E1" s="81"/>
      <c r="F1" s="81"/>
      <c r="G1" s="81"/>
      <c r="H1" s="81"/>
      <c r="I1" s="81"/>
      <c r="J1" s="81"/>
      <c r="K1" s="81"/>
      <c r="L1" s="81"/>
      <c r="M1" s="81"/>
      <c r="N1" s="81"/>
      <c r="O1" s="81"/>
      <c r="P1" s="81"/>
      <c r="Q1" s="81"/>
      <c r="R1" s="81"/>
      <c r="S1" s="81"/>
      <c r="T1" s="81"/>
      <c r="U1" s="81"/>
      <c r="V1" s="82"/>
      <c r="W1" s="84"/>
      <c r="X1" s="1"/>
      <c r="Y1" s="1"/>
    </row>
    <row r="2" spans="1:25" ht="35.25" customHeight="1">
      <c r="A2" s="85"/>
      <c r="B2" s="67" t="s">
        <v>1</v>
      </c>
      <c r="C2" s="81"/>
      <c r="D2" s="81"/>
      <c r="E2" s="81"/>
      <c r="F2" s="81"/>
      <c r="G2" s="81"/>
      <c r="H2" s="81"/>
      <c r="I2" s="81"/>
      <c r="J2" s="81"/>
      <c r="K2" s="81"/>
      <c r="L2" s="81"/>
      <c r="M2" s="81"/>
      <c r="N2" s="81"/>
      <c r="O2" s="81"/>
      <c r="P2" s="81"/>
      <c r="Q2" s="81"/>
      <c r="R2" s="81"/>
      <c r="S2" s="81"/>
      <c r="T2" s="81"/>
      <c r="U2" s="81"/>
      <c r="V2" s="82"/>
      <c r="W2" s="86" t="s">
        <v>2</v>
      </c>
      <c r="X2" s="1"/>
      <c r="Y2" s="1"/>
    </row>
    <row r="3" spans="1:25" ht="17.25" customHeight="1">
      <c r="A3" s="87"/>
      <c r="B3" s="68" t="s">
        <v>3</v>
      </c>
      <c r="C3" s="88"/>
      <c r="D3" s="88"/>
      <c r="E3" s="88"/>
      <c r="F3" s="88"/>
      <c r="G3" s="88"/>
      <c r="H3" s="88"/>
      <c r="I3" s="88"/>
      <c r="J3" s="88"/>
      <c r="K3" s="88"/>
      <c r="L3" s="88"/>
      <c r="M3" s="88"/>
      <c r="N3" s="88"/>
      <c r="O3" s="88"/>
      <c r="P3" s="88"/>
      <c r="Q3" s="88"/>
      <c r="R3" s="88"/>
      <c r="S3" s="88"/>
      <c r="T3" s="88"/>
      <c r="U3" s="88"/>
      <c r="V3" s="89"/>
      <c r="W3" s="90" t="s">
        <v>4</v>
      </c>
      <c r="X3" s="1"/>
      <c r="Y3" s="1"/>
    </row>
    <row r="4" spans="1:25" ht="15" customHeight="1">
      <c r="A4" s="91"/>
      <c r="B4" s="92"/>
      <c r="C4" s="93"/>
      <c r="D4" s="93"/>
      <c r="E4" s="93"/>
      <c r="F4" s="93"/>
      <c r="G4" s="93"/>
      <c r="H4" s="93"/>
      <c r="I4" s="93"/>
      <c r="J4" s="93"/>
      <c r="K4" s="93"/>
      <c r="L4" s="93"/>
      <c r="M4" s="93"/>
      <c r="N4" s="93"/>
      <c r="O4" s="93"/>
      <c r="P4" s="93"/>
      <c r="Q4" s="93"/>
      <c r="R4" s="93"/>
      <c r="S4" s="93"/>
      <c r="T4" s="93"/>
      <c r="U4" s="93"/>
      <c r="V4" s="94"/>
      <c r="W4" s="95"/>
      <c r="X4" s="1"/>
      <c r="Y4" s="1"/>
    </row>
    <row r="5" spans="1:25" ht="15" customHeight="1">
      <c r="A5" s="91"/>
      <c r="B5" s="92"/>
      <c r="C5" s="93"/>
      <c r="D5" s="93"/>
      <c r="E5" s="93"/>
      <c r="F5" s="93"/>
      <c r="G5" s="93"/>
      <c r="H5" s="93"/>
      <c r="I5" s="93"/>
      <c r="J5" s="93"/>
      <c r="K5" s="93"/>
      <c r="L5" s="93"/>
      <c r="M5" s="93"/>
      <c r="N5" s="93"/>
      <c r="O5" s="93"/>
      <c r="P5" s="93"/>
      <c r="Q5" s="93"/>
      <c r="R5" s="93"/>
      <c r="S5" s="93"/>
      <c r="T5" s="93"/>
      <c r="U5" s="93"/>
      <c r="V5" s="94"/>
      <c r="W5" s="96" t="s">
        <v>5</v>
      </c>
      <c r="X5" s="1"/>
      <c r="Y5" s="1"/>
    </row>
    <row r="6" spans="1:25" ht="15" customHeight="1">
      <c r="A6" s="91"/>
      <c r="B6" s="92"/>
      <c r="C6" s="93"/>
      <c r="D6" s="93"/>
      <c r="E6" s="93"/>
      <c r="F6" s="93"/>
      <c r="G6" s="93"/>
      <c r="H6" s="93"/>
      <c r="I6" s="93"/>
      <c r="J6" s="93"/>
      <c r="K6" s="93"/>
      <c r="L6" s="93"/>
      <c r="M6" s="93"/>
      <c r="N6" s="93"/>
      <c r="O6" s="93"/>
      <c r="P6" s="93"/>
      <c r="Q6" s="93"/>
      <c r="R6" s="93"/>
      <c r="S6" s="93"/>
      <c r="T6" s="93"/>
      <c r="U6" s="93"/>
      <c r="V6" s="94"/>
      <c r="W6" s="96" t="s">
        <v>6</v>
      </c>
      <c r="X6" s="1"/>
      <c r="Y6" s="1"/>
    </row>
    <row r="7" spans="1:25" ht="15" customHeight="1">
      <c r="A7" s="91"/>
      <c r="B7" s="92"/>
      <c r="C7" s="93"/>
      <c r="D7" s="93"/>
      <c r="E7" s="93"/>
      <c r="F7" s="93"/>
      <c r="G7" s="93"/>
      <c r="H7" s="93"/>
      <c r="I7" s="93"/>
      <c r="J7" s="93"/>
      <c r="K7" s="93"/>
      <c r="L7" s="93"/>
      <c r="M7" s="93"/>
      <c r="N7" s="93"/>
      <c r="O7" s="93"/>
      <c r="P7" s="93"/>
      <c r="Q7" s="93"/>
      <c r="R7" s="93"/>
      <c r="S7" s="93"/>
      <c r="T7" s="93"/>
      <c r="U7" s="93"/>
      <c r="V7" s="94"/>
      <c r="W7" s="96" t="s">
        <v>7</v>
      </c>
      <c r="X7" s="1"/>
      <c r="Y7" s="1"/>
    </row>
    <row r="8" spans="1:25" ht="15" customHeight="1">
      <c r="A8" s="91"/>
      <c r="B8" s="92"/>
      <c r="C8" s="93"/>
      <c r="D8" s="93"/>
      <c r="E8" s="93"/>
      <c r="F8" s="93"/>
      <c r="G8" s="93"/>
      <c r="H8" s="93"/>
      <c r="I8" s="93"/>
      <c r="J8" s="93"/>
      <c r="K8" s="93"/>
      <c r="L8" s="93"/>
      <c r="M8" s="93"/>
      <c r="N8" s="93"/>
      <c r="O8" s="93"/>
      <c r="P8" s="93"/>
      <c r="Q8" s="93"/>
      <c r="R8" s="93"/>
      <c r="S8" s="93"/>
      <c r="T8" s="93"/>
      <c r="U8" s="93"/>
      <c r="V8" s="94"/>
      <c r="W8" s="96" t="s">
        <v>8</v>
      </c>
      <c r="X8" s="1"/>
      <c r="Y8" s="1"/>
    </row>
    <row r="9" spans="1:25" ht="15" customHeight="1">
      <c r="A9" s="91"/>
      <c r="B9" s="92"/>
      <c r="C9" s="93"/>
      <c r="D9" s="93"/>
      <c r="E9" s="93"/>
      <c r="F9" s="93"/>
      <c r="G9" s="93"/>
      <c r="H9" s="93"/>
      <c r="I9" s="93"/>
      <c r="J9" s="93"/>
      <c r="K9" s="93"/>
      <c r="L9" s="93"/>
      <c r="M9" s="93"/>
      <c r="N9" s="93"/>
      <c r="O9" s="93"/>
      <c r="P9" s="93"/>
      <c r="Q9" s="93"/>
      <c r="R9" s="93"/>
      <c r="S9" s="93"/>
      <c r="T9" s="93"/>
      <c r="U9" s="93"/>
      <c r="V9" s="94"/>
      <c r="W9" s="96" t="s">
        <v>9</v>
      </c>
      <c r="X9" s="1"/>
      <c r="Y9" s="1"/>
    </row>
    <row r="10" spans="1:25" ht="15" customHeight="1">
      <c r="A10" s="91"/>
      <c r="B10" s="92"/>
      <c r="C10" s="93"/>
      <c r="D10" s="93"/>
      <c r="E10" s="93"/>
      <c r="F10" s="93"/>
      <c r="G10" s="93"/>
      <c r="H10" s="93"/>
      <c r="I10" s="93"/>
      <c r="J10" s="93"/>
      <c r="K10" s="93"/>
      <c r="L10" s="93"/>
      <c r="M10" s="93"/>
      <c r="N10" s="93"/>
      <c r="O10" s="93"/>
      <c r="P10" s="93"/>
      <c r="Q10" s="93"/>
      <c r="R10" s="93"/>
      <c r="S10" s="93"/>
      <c r="T10" s="93"/>
      <c r="U10" s="93"/>
      <c r="V10" s="94"/>
      <c r="W10" s="96" t="s">
        <v>10</v>
      </c>
      <c r="X10" s="1"/>
      <c r="Y10" s="1"/>
    </row>
    <row r="11" spans="1:25" ht="15" customHeight="1">
      <c r="A11" s="91"/>
      <c r="B11" s="92"/>
      <c r="C11" s="93"/>
      <c r="D11" s="93"/>
      <c r="E11" s="93"/>
      <c r="F11" s="93"/>
      <c r="G11" s="93"/>
      <c r="H11" s="93"/>
      <c r="I11" s="93"/>
      <c r="J11" s="93"/>
      <c r="K11" s="93"/>
      <c r="L11" s="93"/>
      <c r="M11" s="93"/>
      <c r="N11" s="93"/>
      <c r="O11" s="93"/>
      <c r="P11" s="93"/>
      <c r="Q11" s="93"/>
      <c r="R11" s="93"/>
      <c r="S11" s="93"/>
      <c r="T11" s="93"/>
      <c r="U11" s="93"/>
      <c r="V11" s="94"/>
      <c r="W11" s="32" t="s">
        <v>11</v>
      </c>
      <c r="X11" s="1"/>
      <c r="Y11" s="1"/>
    </row>
    <row r="12" spans="1:25" ht="17.25" customHeight="1">
      <c r="A12" s="91"/>
      <c r="B12" s="92"/>
      <c r="C12" s="93"/>
      <c r="D12" s="93"/>
      <c r="E12" s="93"/>
      <c r="F12" s="93"/>
      <c r="G12" s="93"/>
      <c r="H12" s="93"/>
      <c r="I12" s="93"/>
      <c r="J12" s="93"/>
      <c r="K12" s="93"/>
      <c r="L12" s="93"/>
      <c r="M12" s="93"/>
      <c r="N12" s="93"/>
      <c r="O12" s="93"/>
      <c r="P12" s="93"/>
      <c r="Q12" s="93"/>
      <c r="R12" s="93"/>
      <c r="S12" s="93"/>
      <c r="T12" s="93"/>
      <c r="U12" s="93"/>
      <c r="V12" s="94"/>
      <c r="W12" s="97" t="s">
        <v>12</v>
      </c>
      <c r="X12" s="1"/>
      <c r="Y12" s="1"/>
    </row>
    <row r="13" spans="1:25" ht="15" customHeight="1">
      <c r="A13" s="91"/>
      <c r="B13" s="92"/>
      <c r="C13" s="93"/>
      <c r="D13" s="93"/>
      <c r="E13" s="93"/>
      <c r="F13" s="93"/>
      <c r="G13" s="93"/>
      <c r="H13" s="93"/>
      <c r="I13" s="93"/>
      <c r="J13" s="93"/>
      <c r="K13" s="93"/>
      <c r="L13" s="93"/>
      <c r="M13" s="93"/>
      <c r="N13" s="93"/>
      <c r="O13" s="93"/>
      <c r="P13" s="93"/>
      <c r="Q13" s="93"/>
      <c r="R13" s="93"/>
      <c r="S13" s="93"/>
      <c r="T13" s="93"/>
      <c r="U13" s="93"/>
      <c r="V13" s="94"/>
      <c r="W13" s="98" t="s">
        <v>13</v>
      </c>
      <c r="X13" s="1"/>
      <c r="Y13" s="1"/>
    </row>
    <row r="14" spans="1:25" ht="15" customHeight="1">
      <c r="A14" s="91"/>
      <c r="B14" s="92"/>
      <c r="C14" s="93"/>
      <c r="D14" s="93"/>
      <c r="E14" s="93"/>
      <c r="F14" s="93"/>
      <c r="G14" s="93"/>
      <c r="H14" s="93"/>
      <c r="I14" s="93"/>
      <c r="J14" s="93"/>
      <c r="K14" s="93"/>
      <c r="L14" s="93"/>
      <c r="M14" s="93"/>
      <c r="N14" s="93"/>
      <c r="O14" s="93"/>
      <c r="P14" s="93"/>
      <c r="Q14" s="93"/>
      <c r="R14" s="93"/>
      <c r="S14" s="93"/>
      <c r="T14" s="93"/>
      <c r="U14" s="93"/>
      <c r="V14" s="94"/>
      <c r="W14" s="99"/>
      <c r="X14" s="1"/>
      <c r="Y14" s="1"/>
    </row>
    <row r="15" spans="1:25" ht="15" customHeight="1">
      <c r="A15" s="91"/>
      <c r="B15" s="92"/>
      <c r="C15" s="93"/>
      <c r="D15" s="93"/>
      <c r="E15" s="93"/>
      <c r="F15" s="93"/>
      <c r="G15" s="93"/>
      <c r="H15" s="93"/>
      <c r="I15" s="93"/>
      <c r="J15" s="93"/>
      <c r="K15" s="93"/>
      <c r="L15" s="93"/>
      <c r="M15" s="93"/>
      <c r="N15" s="93"/>
      <c r="O15" s="93"/>
      <c r="P15" s="93"/>
      <c r="Q15" s="93"/>
      <c r="R15" s="93"/>
      <c r="S15" s="93"/>
      <c r="T15" s="93"/>
      <c r="U15" s="93"/>
      <c r="V15" s="94"/>
      <c r="W15" s="100" t="s">
        <v>14</v>
      </c>
      <c r="X15" s="1"/>
      <c r="Y15" s="1"/>
    </row>
    <row r="16" spans="1:25" ht="15" customHeight="1">
      <c r="A16" s="91"/>
      <c r="B16" s="92"/>
      <c r="C16" s="93"/>
      <c r="D16" s="93"/>
      <c r="E16" s="93"/>
      <c r="F16" s="93"/>
      <c r="G16" s="93"/>
      <c r="H16" s="93"/>
      <c r="I16" s="93"/>
      <c r="J16" s="93"/>
      <c r="K16" s="93"/>
      <c r="L16" s="93"/>
      <c r="M16" s="93"/>
      <c r="N16" s="93"/>
      <c r="O16" s="93"/>
      <c r="P16" s="93"/>
      <c r="Q16" s="93"/>
      <c r="R16" s="93"/>
      <c r="S16" s="93"/>
      <c r="T16" s="93"/>
      <c r="U16" s="93"/>
      <c r="V16" s="94"/>
      <c r="W16" s="101" t="s">
        <v>15</v>
      </c>
      <c r="X16" s="1"/>
      <c r="Y16" s="1"/>
    </row>
    <row r="17" spans="1:25" ht="15" customHeight="1">
      <c r="A17" s="91"/>
      <c r="B17" s="92"/>
      <c r="C17" s="93"/>
      <c r="D17" s="93"/>
      <c r="E17" s="93"/>
      <c r="F17" s="93"/>
      <c r="G17" s="93"/>
      <c r="H17" s="93"/>
      <c r="I17" s="93"/>
      <c r="J17" s="93"/>
      <c r="K17" s="93"/>
      <c r="L17" s="93"/>
      <c r="M17" s="93"/>
      <c r="N17" s="93"/>
      <c r="O17" s="93"/>
      <c r="P17" s="93"/>
      <c r="Q17" s="93"/>
      <c r="R17" s="93"/>
      <c r="S17" s="93"/>
      <c r="T17" s="93"/>
      <c r="U17" s="93"/>
      <c r="V17" s="94"/>
      <c r="W17" s="101" t="s">
        <v>16</v>
      </c>
      <c r="X17" s="1"/>
      <c r="Y17" s="1"/>
    </row>
    <row r="18" spans="1:25" ht="15" customHeight="1">
      <c r="A18" s="91"/>
      <c r="B18" s="92"/>
      <c r="C18" s="93"/>
      <c r="D18" s="93"/>
      <c r="E18" s="93"/>
      <c r="F18" s="93"/>
      <c r="G18" s="93"/>
      <c r="H18" s="93"/>
      <c r="I18" s="93"/>
      <c r="J18" s="93"/>
      <c r="K18" s="93"/>
      <c r="L18" s="93"/>
      <c r="M18" s="93"/>
      <c r="N18" s="93"/>
      <c r="O18" s="93"/>
      <c r="P18" s="93"/>
      <c r="Q18" s="93"/>
      <c r="R18" s="93"/>
      <c r="S18" s="93"/>
      <c r="T18" s="93"/>
      <c r="U18" s="93"/>
      <c r="V18" s="94"/>
      <c r="W18" s="101" t="s">
        <v>17</v>
      </c>
      <c r="X18" s="1"/>
      <c r="Y18" s="1"/>
    </row>
    <row r="19" spans="1:25" ht="15" customHeight="1">
      <c r="A19" s="91"/>
      <c r="B19" s="92"/>
      <c r="C19" s="93"/>
      <c r="D19" s="93"/>
      <c r="E19" s="93"/>
      <c r="F19" s="93"/>
      <c r="G19" s="93"/>
      <c r="H19" s="93"/>
      <c r="I19" s="93"/>
      <c r="J19" s="93"/>
      <c r="K19" s="93"/>
      <c r="L19" s="93"/>
      <c r="M19" s="93"/>
      <c r="N19" s="93"/>
      <c r="O19" s="93"/>
      <c r="P19" s="93"/>
      <c r="Q19" s="93"/>
      <c r="R19" s="93"/>
      <c r="S19" s="93"/>
      <c r="T19" s="93"/>
      <c r="U19" s="93"/>
      <c r="V19" s="94"/>
      <c r="W19" s="99"/>
      <c r="X19" s="1"/>
      <c r="Y19" s="1"/>
    </row>
    <row r="20" spans="1:25" ht="15" customHeight="1">
      <c r="A20" s="91"/>
      <c r="B20" s="92"/>
      <c r="C20" s="93"/>
      <c r="D20" s="93"/>
      <c r="E20" s="93"/>
      <c r="F20" s="93"/>
      <c r="G20" s="93"/>
      <c r="H20" s="93"/>
      <c r="I20" s="93"/>
      <c r="J20" s="93"/>
      <c r="K20" s="93"/>
      <c r="L20" s="93"/>
      <c r="M20" s="93"/>
      <c r="N20" s="93"/>
      <c r="O20" s="93"/>
      <c r="P20" s="93"/>
      <c r="Q20" s="93"/>
      <c r="R20" s="93"/>
      <c r="S20" s="93"/>
      <c r="T20" s="93"/>
      <c r="U20" s="93"/>
      <c r="V20" s="94"/>
      <c r="W20" s="100" t="s">
        <v>18</v>
      </c>
      <c r="X20" s="1"/>
      <c r="Y20" s="1"/>
    </row>
    <row r="21" spans="1:25" ht="15" customHeight="1">
      <c r="A21" s="91"/>
      <c r="B21" s="92"/>
      <c r="C21" s="93"/>
      <c r="D21" s="93"/>
      <c r="E21" s="93"/>
      <c r="F21" s="93"/>
      <c r="G21" s="93"/>
      <c r="H21" s="93"/>
      <c r="I21" s="93"/>
      <c r="J21" s="93"/>
      <c r="K21" s="93"/>
      <c r="L21" s="93"/>
      <c r="M21" s="93"/>
      <c r="N21" s="93"/>
      <c r="O21" s="93"/>
      <c r="P21" s="93"/>
      <c r="Q21" s="93"/>
      <c r="R21" s="93"/>
      <c r="S21" s="93"/>
      <c r="T21" s="93"/>
      <c r="U21" s="93"/>
      <c r="V21" s="94"/>
      <c r="W21" s="101" t="s">
        <v>19</v>
      </c>
      <c r="X21" s="1"/>
      <c r="Y21" s="1"/>
    </row>
    <row r="22" spans="1:25" ht="15" customHeight="1">
      <c r="A22" s="91"/>
      <c r="B22" s="92"/>
      <c r="C22" s="93"/>
      <c r="D22" s="93"/>
      <c r="E22" s="93"/>
      <c r="F22" s="93"/>
      <c r="G22" s="93"/>
      <c r="H22" s="93"/>
      <c r="I22" s="93"/>
      <c r="J22" s="93"/>
      <c r="K22" s="93"/>
      <c r="L22" s="93"/>
      <c r="M22" s="93"/>
      <c r="N22" s="93"/>
      <c r="O22" s="93"/>
      <c r="P22" s="93"/>
      <c r="Q22" s="93"/>
      <c r="R22" s="93"/>
      <c r="S22" s="93"/>
      <c r="T22" s="93"/>
      <c r="U22" s="93"/>
      <c r="V22" s="94"/>
      <c r="W22" s="99"/>
      <c r="X22" s="1"/>
      <c r="Y22" s="1"/>
    </row>
    <row r="23" spans="1:25" ht="17.25" customHeight="1">
      <c r="A23" s="91"/>
      <c r="B23" s="92"/>
      <c r="C23" s="93"/>
      <c r="D23" s="93"/>
      <c r="E23" s="93"/>
      <c r="F23" s="93"/>
      <c r="G23" s="93"/>
      <c r="H23" s="93"/>
      <c r="I23" s="93"/>
      <c r="J23" s="93"/>
      <c r="K23" s="93"/>
      <c r="L23" s="93"/>
      <c r="M23" s="93"/>
      <c r="N23" s="93"/>
      <c r="O23" s="93"/>
      <c r="P23" s="93"/>
      <c r="Q23" s="93"/>
      <c r="R23" s="93"/>
      <c r="S23" s="93"/>
      <c r="T23" s="93"/>
      <c r="U23" s="93"/>
      <c r="V23" s="94"/>
      <c r="W23" s="102" t="s">
        <v>20</v>
      </c>
      <c r="X23" s="1"/>
      <c r="Y23" s="1"/>
    </row>
    <row r="24" spans="1:25" ht="15" customHeight="1">
      <c r="A24" s="91"/>
      <c r="B24" s="92"/>
      <c r="C24" s="93"/>
      <c r="D24" s="93"/>
      <c r="E24" s="93"/>
      <c r="F24" s="93"/>
      <c r="G24" s="93"/>
      <c r="H24" s="93"/>
      <c r="I24" s="93"/>
      <c r="J24" s="93"/>
      <c r="K24" s="93"/>
      <c r="L24" s="93"/>
      <c r="M24" s="93"/>
      <c r="N24" s="93"/>
      <c r="O24" s="93"/>
      <c r="P24" s="93"/>
      <c r="Q24" s="93"/>
      <c r="R24" s="93"/>
      <c r="S24" s="93"/>
      <c r="T24" s="93"/>
      <c r="U24" s="93"/>
      <c r="V24" s="94"/>
      <c r="W24" s="43">
        <v>500</v>
      </c>
      <c r="X24" s="1"/>
      <c r="Y24" s="1"/>
    </row>
    <row r="25" spans="1:25" ht="29.5" customHeight="1">
      <c r="A25" s="91"/>
      <c r="B25" s="92"/>
      <c r="C25" s="93"/>
      <c r="D25" s="93"/>
      <c r="E25" s="93"/>
      <c r="F25" s="93"/>
      <c r="G25" s="93"/>
      <c r="H25" s="93"/>
      <c r="I25" s="93"/>
      <c r="J25" s="93"/>
      <c r="K25" s="93"/>
      <c r="L25" s="93"/>
      <c r="M25" s="93"/>
      <c r="N25" s="93"/>
      <c r="O25" s="93"/>
      <c r="P25" s="93"/>
      <c r="Q25" s="93"/>
      <c r="R25" s="93"/>
      <c r="S25" s="93"/>
      <c r="T25" s="93"/>
      <c r="U25" s="93"/>
      <c r="V25" s="94"/>
      <c r="W25" s="95"/>
      <c r="X25" s="1"/>
      <c r="Y25" s="1"/>
    </row>
    <row r="26" spans="1:25" ht="1.5" customHeight="1">
      <c r="A26" s="91"/>
      <c r="B26" s="103"/>
      <c r="C26" s="104"/>
      <c r="D26" s="104"/>
      <c r="E26" s="104"/>
      <c r="F26" s="104"/>
      <c r="G26" s="104"/>
      <c r="H26" s="104"/>
      <c r="I26" s="104"/>
      <c r="J26" s="104"/>
      <c r="K26" s="104"/>
      <c r="L26" s="104"/>
      <c r="M26" s="104"/>
      <c r="N26" s="104"/>
      <c r="O26" s="104"/>
      <c r="P26" s="104"/>
      <c r="Q26" s="104"/>
      <c r="R26" s="104"/>
      <c r="S26" s="104"/>
      <c r="T26" s="104"/>
      <c r="U26" s="104"/>
      <c r="V26" s="105"/>
      <c r="W26" s="95"/>
      <c r="X26" s="1"/>
      <c r="Y26" s="1"/>
    </row>
    <row r="27" spans="1:25" ht="15.75" customHeight="1">
      <c r="A27" s="7" t="s">
        <v>21</v>
      </c>
      <c r="B27" s="67" t="s">
        <v>22</v>
      </c>
      <c r="C27" s="81"/>
      <c r="D27" s="82"/>
      <c r="E27" s="67" t="s">
        <v>23</v>
      </c>
      <c r="F27" s="81"/>
      <c r="G27" s="82"/>
      <c r="H27" s="67" t="s">
        <v>24</v>
      </c>
      <c r="I27" s="81"/>
      <c r="J27" s="82"/>
      <c r="K27" s="67" t="s">
        <v>25</v>
      </c>
      <c r="L27" s="81"/>
      <c r="M27" s="82"/>
      <c r="N27" s="67" t="s">
        <v>26</v>
      </c>
      <c r="O27" s="81"/>
      <c r="P27" s="82"/>
      <c r="Q27" s="67" t="s">
        <v>27</v>
      </c>
      <c r="R27" s="81"/>
      <c r="S27" s="82"/>
      <c r="T27" s="67" t="s">
        <v>28</v>
      </c>
      <c r="U27" s="81"/>
      <c r="V27" s="82"/>
      <c r="W27" s="95"/>
      <c r="X27" s="1"/>
    </row>
    <row r="28" spans="1:25" ht="15.75" customHeight="1">
      <c r="A28" s="51" t="s">
        <v>29</v>
      </c>
      <c r="B28" s="106"/>
      <c r="C28" s="107"/>
      <c r="D28" s="108"/>
      <c r="E28" s="109"/>
      <c r="F28" s="109"/>
      <c r="G28" s="54">
        <f>D38+F28</f>
        <v>1225</v>
      </c>
      <c r="H28" s="110"/>
      <c r="I28" s="111"/>
      <c r="J28" s="17">
        <f>G38+I28</f>
        <v>443</v>
      </c>
      <c r="K28" s="109"/>
      <c r="L28" s="109"/>
      <c r="M28" s="35">
        <f>J38+L28</f>
        <v>432</v>
      </c>
      <c r="N28" s="112"/>
      <c r="O28" s="111"/>
      <c r="P28" s="17">
        <f>M38+O28</f>
        <v>384</v>
      </c>
      <c r="Q28" s="113"/>
      <c r="R28" s="109"/>
      <c r="S28" s="35">
        <f>P38+R28</f>
        <v>407</v>
      </c>
      <c r="T28" s="112"/>
      <c r="U28" s="111"/>
      <c r="V28" s="36">
        <f>S38+U28</f>
        <v>372</v>
      </c>
      <c r="W28" s="95"/>
      <c r="X28" s="1"/>
      <c r="Y28" s="1"/>
    </row>
    <row r="29" spans="1:25" ht="15.75" customHeight="1">
      <c r="A29" s="114"/>
      <c r="B29" s="106"/>
      <c r="C29" s="107"/>
      <c r="D29" s="26">
        <f t="shared" ref="D29:D38" si="0">D28+C29</f>
        <v>0</v>
      </c>
      <c r="E29" s="115" t="s">
        <v>30</v>
      </c>
      <c r="F29" s="22">
        <v>-725</v>
      </c>
      <c r="G29" s="19">
        <f t="shared" ref="G29:G38" si="1">G28+F29</f>
        <v>500</v>
      </c>
      <c r="H29" s="116"/>
      <c r="I29" s="107"/>
      <c r="J29" s="26">
        <f t="shared" ref="J29:J38" si="2">J28+I29</f>
        <v>443</v>
      </c>
      <c r="K29" s="117"/>
      <c r="L29" s="117"/>
      <c r="M29" s="38">
        <f t="shared" ref="M29:M38" si="3">M28+L29</f>
        <v>432</v>
      </c>
      <c r="N29" s="106"/>
      <c r="O29" s="107"/>
      <c r="P29" s="26">
        <f t="shared" ref="P29:P38" si="4">P28+O29</f>
        <v>384</v>
      </c>
      <c r="Q29" s="118"/>
      <c r="R29" s="117"/>
      <c r="S29" s="38">
        <f t="shared" ref="S29:S38" si="5">S28+R29</f>
        <v>407</v>
      </c>
      <c r="T29" s="106"/>
      <c r="U29" s="107"/>
      <c r="V29" s="26">
        <f t="shared" ref="V29:V38" si="6">V28+U29</f>
        <v>372</v>
      </c>
      <c r="W29" s="95"/>
      <c r="X29" s="1"/>
      <c r="Y29" s="1"/>
    </row>
    <row r="30" spans="1:25" ht="15.75" customHeight="1">
      <c r="A30" s="114"/>
      <c r="B30" s="16" t="s">
        <v>31</v>
      </c>
      <c r="C30" s="107"/>
      <c r="D30" s="26">
        <f t="shared" si="0"/>
        <v>0</v>
      </c>
      <c r="E30" s="117"/>
      <c r="F30" s="117"/>
      <c r="G30" s="19">
        <f t="shared" si="1"/>
        <v>500</v>
      </c>
      <c r="H30" s="106"/>
      <c r="I30" s="107"/>
      <c r="J30" s="26">
        <f t="shared" si="2"/>
        <v>443</v>
      </c>
      <c r="K30" s="117"/>
      <c r="L30" s="117"/>
      <c r="M30" s="38">
        <f t="shared" si="3"/>
        <v>432</v>
      </c>
      <c r="N30" s="106"/>
      <c r="O30" s="107"/>
      <c r="P30" s="26">
        <f t="shared" si="4"/>
        <v>384</v>
      </c>
      <c r="Q30" s="118"/>
      <c r="R30" s="117"/>
      <c r="S30" s="38">
        <f t="shared" si="5"/>
        <v>407</v>
      </c>
      <c r="T30" s="106"/>
      <c r="U30" s="107"/>
      <c r="V30" s="26">
        <f t="shared" si="6"/>
        <v>372</v>
      </c>
      <c r="W30" s="95"/>
      <c r="X30" s="1"/>
      <c r="Y30" s="1"/>
    </row>
    <row r="31" spans="1:25" ht="15.75" customHeight="1">
      <c r="A31" s="114"/>
      <c r="B31" s="119" t="s">
        <v>32</v>
      </c>
      <c r="C31" s="23">
        <v>1225</v>
      </c>
      <c r="D31" s="26">
        <f t="shared" si="0"/>
        <v>1225</v>
      </c>
      <c r="E31" s="38" t="s">
        <v>33</v>
      </c>
      <c r="F31" s="38">
        <v>-45</v>
      </c>
      <c r="G31" s="19">
        <f t="shared" si="1"/>
        <v>455</v>
      </c>
      <c r="H31" s="106"/>
      <c r="I31" s="107"/>
      <c r="J31" s="26">
        <f t="shared" si="2"/>
        <v>443</v>
      </c>
      <c r="K31" s="38" t="s">
        <v>34</v>
      </c>
      <c r="L31" s="38">
        <v>-48</v>
      </c>
      <c r="M31" s="38">
        <f t="shared" si="3"/>
        <v>384</v>
      </c>
      <c r="N31" s="106"/>
      <c r="O31" s="107"/>
      <c r="P31" s="26">
        <f t="shared" si="4"/>
        <v>384</v>
      </c>
      <c r="Q31" s="44" t="s">
        <v>35</v>
      </c>
      <c r="R31" s="38">
        <v>-12</v>
      </c>
      <c r="S31" s="38">
        <f t="shared" si="5"/>
        <v>395</v>
      </c>
      <c r="T31" s="106"/>
      <c r="U31" s="107"/>
      <c r="V31" s="26">
        <f t="shared" si="6"/>
        <v>372</v>
      </c>
      <c r="W31" s="120"/>
      <c r="X31" s="1"/>
      <c r="Y31" s="1"/>
    </row>
    <row r="32" spans="1:25" ht="15.75" customHeight="1">
      <c r="A32" s="114"/>
      <c r="B32" s="16" t="s">
        <v>36</v>
      </c>
      <c r="C32" s="107"/>
      <c r="D32" s="26">
        <f t="shared" si="0"/>
        <v>1225</v>
      </c>
      <c r="E32" s="38" t="s">
        <v>37</v>
      </c>
      <c r="F32" s="38">
        <v>-12</v>
      </c>
      <c r="G32" s="19">
        <f t="shared" si="1"/>
        <v>443</v>
      </c>
      <c r="H32" s="37" t="s">
        <v>38</v>
      </c>
      <c r="I32" s="23">
        <v>-11</v>
      </c>
      <c r="J32" s="26">
        <f t="shared" si="2"/>
        <v>432</v>
      </c>
      <c r="K32" s="117"/>
      <c r="L32" s="117"/>
      <c r="M32" s="38">
        <f t="shared" si="3"/>
        <v>384</v>
      </c>
      <c r="N32" s="106"/>
      <c r="O32" s="107"/>
      <c r="P32" s="26">
        <f t="shared" si="4"/>
        <v>384</v>
      </c>
      <c r="Q32" s="44" t="s">
        <v>39</v>
      </c>
      <c r="R32" s="38">
        <v>-23</v>
      </c>
      <c r="S32" s="38">
        <f t="shared" si="5"/>
        <v>372</v>
      </c>
      <c r="T32" s="37" t="s">
        <v>40</v>
      </c>
      <c r="U32" s="23">
        <v>-43</v>
      </c>
      <c r="V32" s="26">
        <f t="shared" si="6"/>
        <v>329</v>
      </c>
      <c r="W32" s="120"/>
      <c r="X32" s="1"/>
      <c r="Y32" s="1"/>
    </row>
    <row r="33" spans="1:25" ht="15.75" customHeight="1">
      <c r="A33" s="114"/>
      <c r="B33" s="106"/>
      <c r="C33" s="107"/>
      <c r="D33" s="26">
        <f t="shared" si="0"/>
        <v>1225</v>
      </c>
      <c r="E33" s="117"/>
      <c r="F33" s="117"/>
      <c r="G33" s="19">
        <f t="shared" si="1"/>
        <v>443</v>
      </c>
      <c r="H33" s="106"/>
      <c r="I33" s="107"/>
      <c r="J33" s="26">
        <f t="shared" si="2"/>
        <v>432</v>
      </c>
      <c r="K33" s="117"/>
      <c r="L33" s="117"/>
      <c r="M33" s="38">
        <f t="shared" si="3"/>
        <v>384</v>
      </c>
      <c r="N33" s="16" t="s">
        <v>41</v>
      </c>
      <c r="O33" s="107"/>
      <c r="P33" s="26">
        <f t="shared" si="4"/>
        <v>384</v>
      </c>
      <c r="Q33" s="118"/>
      <c r="R33" s="117"/>
      <c r="S33" s="38">
        <f t="shared" si="5"/>
        <v>372</v>
      </c>
      <c r="T33" s="106"/>
      <c r="U33" s="116"/>
      <c r="V33" s="26">
        <f t="shared" si="6"/>
        <v>329</v>
      </c>
      <c r="W33" s="120"/>
      <c r="X33" s="1"/>
      <c r="Y33" s="1"/>
    </row>
    <row r="34" spans="1:25" ht="15.75" customHeight="1">
      <c r="A34" s="114"/>
      <c r="B34" s="106"/>
      <c r="C34" s="107"/>
      <c r="D34" s="26">
        <f t="shared" si="0"/>
        <v>1225</v>
      </c>
      <c r="E34" s="117"/>
      <c r="F34" s="117"/>
      <c r="G34" s="19">
        <f t="shared" si="1"/>
        <v>443</v>
      </c>
      <c r="H34" s="106"/>
      <c r="I34" s="107"/>
      <c r="J34" s="26">
        <f t="shared" si="2"/>
        <v>432</v>
      </c>
      <c r="K34" s="117"/>
      <c r="L34" s="117"/>
      <c r="M34" s="38">
        <f t="shared" si="3"/>
        <v>384</v>
      </c>
      <c r="N34" s="16" t="s">
        <v>42</v>
      </c>
      <c r="O34" s="121">
        <v>23</v>
      </c>
      <c r="P34" s="26">
        <f t="shared" si="4"/>
        <v>407</v>
      </c>
      <c r="Q34" s="117"/>
      <c r="R34" s="117"/>
      <c r="S34" s="38">
        <f t="shared" si="5"/>
        <v>372</v>
      </c>
      <c r="T34" s="106"/>
      <c r="U34" s="116"/>
      <c r="V34" s="26">
        <f t="shared" si="6"/>
        <v>329</v>
      </c>
      <c r="W34" s="120"/>
      <c r="X34" s="1"/>
      <c r="Y34" s="1"/>
    </row>
    <row r="35" spans="1:25" ht="15.75" customHeight="1">
      <c r="A35" s="114"/>
      <c r="B35" s="106"/>
      <c r="C35" s="107"/>
      <c r="D35" s="26">
        <f t="shared" si="0"/>
        <v>1225</v>
      </c>
      <c r="E35" s="117"/>
      <c r="F35" s="117"/>
      <c r="G35" s="19">
        <f t="shared" si="1"/>
        <v>443</v>
      </c>
      <c r="H35" s="106"/>
      <c r="I35" s="107"/>
      <c r="J35" s="26">
        <f t="shared" si="2"/>
        <v>432</v>
      </c>
      <c r="K35" s="117"/>
      <c r="L35" s="117"/>
      <c r="M35" s="38">
        <f t="shared" si="3"/>
        <v>384</v>
      </c>
      <c r="N35" s="16" t="s">
        <v>43</v>
      </c>
      <c r="O35" s="107"/>
      <c r="P35" s="26">
        <f t="shared" si="4"/>
        <v>407</v>
      </c>
      <c r="Q35" s="118"/>
      <c r="R35" s="117"/>
      <c r="S35" s="38">
        <f t="shared" si="5"/>
        <v>372</v>
      </c>
      <c r="T35" s="106"/>
      <c r="U35" s="116"/>
      <c r="V35" s="26">
        <f t="shared" si="6"/>
        <v>329</v>
      </c>
      <c r="W35" s="120"/>
      <c r="X35" s="1"/>
      <c r="Y35" s="1"/>
    </row>
    <row r="36" spans="1:25" ht="15.75" customHeight="1">
      <c r="A36" s="114"/>
      <c r="B36" s="122"/>
      <c r="C36" s="123"/>
      <c r="D36" s="26">
        <f t="shared" si="0"/>
        <v>1225</v>
      </c>
      <c r="E36" s="117"/>
      <c r="F36" s="117"/>
      <c r="G36" s="19">
        <f t="shared" si="1"/>
        <v>443</v>
      </c>
      <c r="H36" s="122"/>
      <c r="I36" s="123"/>
      <c r="J36" s="26">
        <f t="shared" si="2"/>
        <v>432</v>
      </c>
      <c r="K36" s="117"/>
      <c r="L36" s="117"/>
      <c r="M36" s="38">
        <f t="shared" si="3"/>
        <v>384</v>
      </c>
      <c r="N36" s="106"/>
      <c r="O36" s="107"/>
      <c r="P36" s="26">
        <f t="shared" si="4"/>
        <v>407</v>
      </c>
      <c r="Q36" s="118"/>
      <c r="R36" s="117"/>
      <c r="S36" s="38">
        <f t="shared" si="5"/>
        <v>372</v>
      </c>
      <c r="T36" s="106"/>
      <c r="U36" s="116"/>
      <c r="V36" s="26">
        <f t="shared" si="6"/>
        <v>329</v>
      </c>
      <c r="W36" s="120"/>
      <c r="X36" s="1"/>
      <c r="Y36" s="1"/>
    </row>
    <row r="37" spans="1:25" ht="15.75" customHeight="1">
      <c r="A37" s="114"/>
      <c r="B37" s="122"/>
      <c r="C37" s="123"/>
      <c r="D37" s="26">
        <f t="shared" si="0"/>
        <v>1225</v>
      </c>
      <c r="E37" s="117"/>
      <c r="F37" s="117"/>
      <c r="G37" s="19">
        <f t="shared" si="1"/>
        <v>443</v>
      </c>
      <c r="H37" s="122"/>
      <c r="I37" s="123"/>
      <c r="J37" s="26">
        <f t="shared" si="2"/>
        <v>432</v>
      </c>
      <c r="K37" s="117"/>
      <c r="L37" s="117"/>
      <c r="M37" s="38">
        <f t="shared" si="3"/>
        <v>384</v>
      </c>
      <c r="N37" s="122"/>
      <c r="O37" s="123"/>
      <c r="P37" s="26">
        <f t="shared" si="4"/>
        <v>407</v>
      </c>
      <c r="Q37" s="117"/>
      <c r="R37" s="117"/>
      <c r="S37" s="38">
        <f t="shared" si="5"/>
        <v>372</v>
      </c>
      <c r="T37" s="122"/>
      <c r="U37" s="124"/>
      <c r="V37" s="26">
        <f t="shared" si="6"/>
        <v>329</v>
      </c>
      <c r="W37" s="125"/>
      <c r="X37" s="1"/>
      <c r="Y37" s="1"/>
    </row>
    <row r="38" spans="1:25" ht="15.75" customHeight="1">
      <c r="A38" s="114"/>
      <c r="B38" s="126"/>
      <c r="C38" s="127"/>
      <c r="D38" s="59">
        <f t="shared" si="0"/>
        <v>1225</v>
      </c>
      <c r="E38" s="128"/>
      <c r="F38" s="128"/>
      <c r="G38" s="29">
        <f t="shared" si="1"/>
        <v>443</v>
      </c>
      <c r="H38" s="122"/>
      <c r="I38" s="123"/>
      <c r="J38" s="39">
        <f t="shared" si="2"/>
        <v>432</v>
      </c>
      <c r="K38" s="128"/>
      <c r="L38" s="128"/>
      <c r="M38" s="40">
        <f t="shared" si="3"/>
        <v>384</v>
      </c>
      <c r="N38" s="122"/>
      <c r="O38" s="123"/>
      <c r="P38" s="39">
        <f t="shared" si="4"/>
        <v>407</v>
      </c>
      <c r="Q38" s="128"/>
      <c r="R38" s="128"/>
      <c r="S38" s="40">
        <f t="shared" si="5"/>
        <v>372</v>
      </c>
      <c r="T38" s="122"/>
      <c r="U38" s="123"/>
      <c r="V38" s="53">
        <f t="shared" si="6"/>
        <v>329</v>
      </c>
      <c r="W38" s="129"/>
      <c r="X38" s="1"/>
      <c r="Y38" s="1"/>
    </row>
    <row r="39" spans="1:25" ht="15.75" customHeight="1">
      <c r="A39" s="87"/>
      <c r="B39" s="67" t="s">
        <v>44</v>
      </c>
      <c r="C39" s="81"/>
      <c r="D39" s="82"/>
      <c r="E39" s="67" t="s">
        <v>45</v>
      </c>
      <c r="F39" s="81"/>
      <c r="G39" s="82"/>
      <c r="H39" s="67" t="s">
        <v>46</v>
      </c>
      <c r="I39" s="81"/>
      <c r="J39" s="82"/>
      <c r="K39" s="67" t="s">
        <v>47</v>
      </c>
      <c r="L39" s="81"/>
      <c r="M39" s="82"/>
      <c r="N39" s="67" t="s">
        <v>48</v>
      </c>
      <c r="O39" s="81"/>
      <c r="P39" s="82"/>
      <c r="Q39" s="67" t="s">
        <v>49</v>
      </c>
      <c r="R39" s="81"/>
      <c r="S39" s="82"/>
      <c r="T39" s="130" t="s">
        <v>50</v>
      </c>
      <c r="U39" s="81"/>
      <c r="V39" s="82"/>
      <c r="W39" s="131"/>
      <c r="X39" s="1"/>
      <c r="Y39" s="1"/>
    </row>
    <row r="40" spans="1:25" ht="15.75" customHeight="1">
      <c r="A40" s="47" t="s">
        <v>51</v>
      </c>
      <c r="B40" s="117"/>
      <c r="C40" s="117"/>
      <c r="D40" s="15">
        <f>V38+C40</f>
        <v>329</v>
      </c>
      <c r="E40" s="112"/>
      <c r="F40" s="111"/>
      <c r="G40" s="36">
        <f>D50+F40</f>
        <v>246</v>
      </c>
      <c r="H40" s="132"/>
      <c r="I40" s="109"/>
      <c r="J40" s="42">
        <f>G50+I40</f>
        <v>234</v>
      </c>
      <c r="K40" s="112"/>
      <c r="L40" s="111"/>
      <c r="M40" s="18">
        <f>J50+L40</f>
        <v>228</v>
      </c>
      <c r="N40" s="113"/>
      <c r="O40" s="109"/>
      <c r="P40" s="35">
        <f>M50+O40</f>
        <v>221</v>
      </c>
      <c r="Q40" s="112"/>
      <c r="R40" s="111"/>
      <c r="S40" s="18">
        <f>P50+R40</f>
        <v>114</v>
      </c>
      <c r="T40" s="113"/>
      <c r="U40" s="109"/>
      <c r="V40" s="54">
        <f>S50+U40</f>
        <v>820</v>
      </c>
      <c r="W40" s="99"/>
      <c r="X40" s="1"/>
      <c r="Y40" s="1"/>
    </row>
    <row r="41" spans="1:25" ht="15.75" customHeight="1">
      <c r="A41" s="114"/>
      <c r="B41" s="38" t="s">
        <v>52</v>
      </c>
      <c r="C41" s="38">
        <v>-35</v>
      </c>
      <c r="D41" s="19">
        <f t="shared" ref="D41:D50" si="7">D40+C41</f>
        <v>294</v>
      </c>
      <c r="E41" s="106"/>
      <c r="F41" s="107"/>
      <c r="G41" s="26">
        <f t="shared" ref="G41:G50" si="8">G40+F41</f>
        <v>246</v>
      </c>
      <c r="H41" s="133"/>
      <c r="I41" s="117"/>
      <c r="J41" s="19">
        <f t="shared" ref="J41:J50" si="9">J40+I41</f>
        <v>234</v>
      </c>
      <c r="K41" s="106"/>
      <c r="L41" s="107"/>
      <c r="M41" s="26">
        <f t="shared" ref="M41:M50" si="10">M40+L41</f>
        <v>228</v>
      </c>
      <c r="N41" s="117"/>
      <c r="O41" s="117"/>
      <c r="P41" s="38">
        <f t="shared" ref="P41:P50" si="11">P40+O41</f>
        <v>221</v>
      </c>
      <c r="Q41" s="134" t="s">
        <v>53</v>
      </c>
      <c r="R41" s="135">
        <v>802</v>
      </c>
      <c r="S41" s="26">
        <f t="shared" ref="S41:S50" si="12">S40+R41</f>
        <v>916</v>
      </c>
      <c r="T41" s="136"/>
      <c r="U41" s="136"/>
      <c r="V41" s="19">
        <f t="shared" ref="V41:V50" si="13">V40+U41</f>
        <v>820</v>
      </c>
      <c r="W41" s="101"/>
      <c r="X41" s="1"/>
      <c r="Y41" s="1"/>
    </row>
    <row r="42" spans="1:25" ht="15.75" customHeight="1">
      <c r="A42" s="114"/>
      <c r="B42" s="38" t="s">
        <v>37</v>
      </c>
      <c r="C42" s="38">
        <v>-38</v>
      </c>
      <c r="D42" s="19">
        <f t="shared" si="7"/>
        <v>256</v>
      </c>
      <c r="E42" s="37" t="s">
        <v>54</v>
      </c>
      <c r="F42" s="23">
        <v>-12</v>
      </c>
      <c r="G42" s="26">
        <f t="shared" si="8"/>
        <v>234</v>
      </c>
      <c r="H42" s="133"/>
      <c r="I42" s="117"/>
      <c r="J42" s="19">
        <f t="shared" si="9"/>
        <v>234</v>
      </c>
      <c r="K42" s="106"/>
      <c r="L42" s="107"/>
      <c r="M42" s="26">
        <f t="shared" si="10"/>
        <v>228</v>
      </c>
      <c r="N42" s="38" t="s">
        <v>34</v>
      </c>
      <c r="O42" s="38">
        <v>-52</v>
      </c>
      <c r="P42" s="38">
        <f t="shared" si="11"/>
        <v>169</v>
      </c>
      <c r="Q42" s="134" t="s">
        <v>20</v>
      </c>
      <c r="R42" s="135">
        <v>-25</v>
      </c>
      <c r="S42" s="26">
        <f t="shared" si="12"/>
        <v>891</v>
      </c>
      <c r="T42" s="136"/>
      <c r="U42" s="136"/>
      <c r="V42" s="19">
        <f t="shared" si="13"/>
        <v>820</v>
      </c>
      <c r="W42" s="101"/>
      <c r="X42" s="1"/>
      <c r="Y42" s="1"/>
    </row>
    <row r="43" spans="1:25" ht="15.75" customHeight="1">
      <c r="A43" s="114"/>
      <c r="B43" s="38" t="s">
        <v>55</v>
      </c>
      <c r="C43" s="38">
        <v>-10</v>
      </c>
      <c r="D43" s="19">
        <f t="shared" si="7"/>
        <v>246</v>
      </c>
      <c r="E43" s="106"/>
      <c r="F43" s="107"/>
      <c r="G43" s="26">
        <f t="shared" si="8"/>
        <v>234</v>
      </c>
      <c r="H43" s="137" t="s">
        <v>56</v>
      </c>
      <c r="I43" s="38">
        <v>-6</v>
      </c>
      <c r="J43" s="19">
        <f t="shared" si="9"/>
        <v>228</v>
      </c>
      <c r="K43" s="37" t="s">
        <v>57</v>
      </c>
      <c r="L43" s="23">
        <v>-7</v>
      </c>
      <c r="M43" s="26">
        <f t="shared" si="10"/>
        <v>221</v>
      </c>
      <c r="N43" s="117"/>
      <c r="O43" s="117"/>
      <c r="P43" s="38">
        <f t="shared" si="11"/>
        <v>169</v>
      </c>
      <c r="Q43" s="106"/>
      <c r="R43" s="107"/>
      <c r="S43" s="26">
        <f t="shared" si="12"/>
        <v>891</v>
      </c>
      <c r="T43" s="136"/>
      <c r="U43" s="136"/>
      <c r="V43" s="19">
        <f t="shared" si="13"/>
        <v>820</v>
      </c>
      <c r="W43" s="101"/>
      <c r="X43" s="1"/>
      <c r="Y43" s="1"/>
    </row>
    <row r="44" spans="1:25" ht="15.75" customHeight="1">
      <c r="A44" s="114"/>
      <c r="B44" s="117"/>
      <c r="C44" s="117"/>
      <c r="D44" s="19">
        <f t="shared" si="7"/>
        <v>246</v>
      </c>
      <c r="E44" s="106"/>
      <c r="F44" s="107"/>
      <c r="G44" s="26">
        <f t="shared" si="8"/>
        <v>234</v>
      </c>
      <c r="H44" s="133"/>
      <c r="I44" s="117"/>
      <c r="J44" s="19">
        <f t="shared" si="9"/>
        <v>228</v>
      </c>
      <c r="K44" s="106"/>
      <c r="L44" s="107"/>
      <c r="M44" s="26">
        <f t="shared" si="10"/>
        <v>221</v>
      </c>
      <c r="N44" s="38" t="s">
        <v>58</v>
      </c>
      <c r="O44" s="117"/>
      <c r="P44" s="38">
        <f t="shared" si="11"/>
        <v>169</v>
      </c>
      <c r="Q44" s="37" t="s">
        <v>59</v>
      </c>
      <c r="R44" s="107"/>
      <c r="S44" s="26">
        <f t="shared" si="12"/>
        <v>891</v>
      </c>
      <c r="T44" s="136"/>
      <c r="U44" s="136"/>
      <c r="V44" s="19">
        <f t="shared" si="13"/>
        <v>820</v>
      </c>
      <c r="W44" s="101"/>
      <c r="X44" s="1"/>
      <c r="Y44" s="1"/>
    </row>
    <row r="45" spans="1:25" ht="15.75" customHeight="1">
      <c r="A45" s="114"/>
      <c r="B45" s="117"/>
      <c r="C45" s="117"/>
      <c r="D45" s="19">
        <f t="shared" si="7"/>
        <v>246</v>
      </c>
      <c r="E45" s="106"/>
      <c r="F45" s="107"/>
      <c r="G45" s="26">
        <f t="shared" si="8"/>
        <v>234</v>
      </c>
      <c r="H45" s="133"/>
      <c r="I45" s="117"/>
      <c r="J45" s="19">
        <f t="shared" si="9"/>
        <v>228</v>
      </c>
      <c r="K45" s="106"/>
      <c r="L45" s="107"/>
      <c r="M45" s="26">
        <f t="shared" si="10"/>
        <v>221</v>
      </c>
      <c r="N45" s="38" t="s">
        <v>60</v>
      </c>
      <c r="O45" s="38">
        <v>-55</v>
      </c>
      <c r="P45" s="38">
        <f t="shared" si="11"/>
        <v>114</v>
      </c>
      <c r="Q45" s="37" t="s">
        <v>61</v>
      </c>
      <c r="R45" s="107"/>
      <c r="S45" s="26">
        <f t="shared" si="12"/>
        <v>891</v>
      </c>
      <c r="T45" s="136"/>
      <c r="U45" s="136"/>
      <c r="V45" s="19">
        <f t="shared" si="13"/>
        <v>820</v>
      </c>
      <c r="W45" s="99"/>
      <c r="X45" s="1"/>
      <c r="Y45" s="1"/>
    </row>
    <row r="46" spans="1:25" ht="15.75" customHeight="1">
      <c r="A46" s="114"/>
      <c r="B46" s="117"/>
      <c r="C46" s="117"/>
      <c r="D46" s="19">
        <f t="shared" si="7"/>
        <v>246</v>
      </c>
      <c r="E46" s="106"/>
      <c r="F46" s="107"/>
      <c r="G46" s="26">
        <f t="shared" si="8"/>
        <v>234</v>
      </c>
      <c r="H46" s="133"/>
      <c r="I46" s="117"/>
      <c r="J46" s="19">
        <f t="shared" si="9"/>
        <v>228</v>
      </c>
      <c r="K46" s="106"/>
      <c r="L46" s="107"/>
      <c r="M46" s="26">
        <f t="shared" si="10"/>
        <v>221</v>
      </c>
      <c r="N46" s="118"/>
      <c r="O46" s="117"/>
      <c r="P46" s="38">
        <f t="shared" si="11"/>
        <v>114</v>
      </c>
      <c r="Q46" s="106"/>
      <c r="R46" s="107"/>
      <c r="S46" s="26">
        <f t="shared" si="12"/>
        <v>891</v>
      </c>
      <c r="T46" s="136"/>
      <c r="U46" s="136"/>
      <c r="V46" s="19">
        <f t="shared" si="13"/>
        <v>820</v>
      </c>
      <c r="W46" s="101"/>
      <c r="X46" s="1"/>
      <c r="Y46" s="1"/>
    </row>
    <row r="47" spans="1:25" ht="15.75" customHeight="1">
      <c r="A47" s="114"/>
      <c r="B47" s="117"/>
      <c r="C47" s="117"/>
      <c r="D47" s="19">
        <f t="shared" si="7"/>
        <v>246</v>
      </c>
      <c r="E47" s="106"/>
      <c r="F47" s="107"/>
      <c r="G47" s="26">
        <f t="shared" si="8"/>
        <v>234</v>
      </c>
      <c r="H47" s="133"/>
      <c r="I47" s="117"/>
      <c r="J47" s="19">
        <f t="shared" si="9"/>
        <v>228</v>
      </c>
      <c r="K47" s="106"/>
      <c r="L47" s="107"/>
      <c r="M47" s="26">
        <f t="shared" si="10"/>
        <v>221</v>
      </c>
      <c r="N47" s="117"/>
      <c r="O47" s="117"/>
      <c r="P47" s="38">
        <f t="shared" si="11"/>
        <v>114</v>
      </c>
      <c r="Q47" s="138" t="s">
        <v>62</v>
      </c>
      <c r="R47" s="31">
        <v>-22</v>
      </c>
      <c r="S47" s="26">
        <f t="shared" si="12"/>
        <v>869</v>
      </c>
      <c r="T47" s="136"/>
      <c r="U47" s="136"/>
      <c r="V47" s="19">
        <f t="shared" si="13"/>
        <v>820</v>
      </c>
      <c r="W47" s="101"/>
      <c r="X47" s="1"/>
      <c r="Y47" s="1"/>
    </row>
    <row r="48" spans="1:25" ht="15.75" customHeight="1">
      <c r="A48" s="114"/>
      <c r="B48" s="117"/>
      <c r="C48" s="117"/>
      <c r="D48" s="19">
        <f t="shared" si="7"/>
        <v>246</v>
      </c>
      <c r="E48" s="106"/>
      <c r="F48" s="107"/>
      <c r="G48" s="26">
        <f t="shared" si="8"/>
        <v>234</v>
      </c>
      <c r="H48" s="133"/>
      <c r="I48" s="117"/>
      <c r="J48" s="19">
        <f t="shared" si="9"/>
        <v>228</v>
      </c>
      <c r="K48" s="106"/>
      <c r="L48" s="107"/>
      <c r="M48" s="26">
        <f t="shared" si="10"/>
        <v>221</v>
      </c>
      <c r="N48" s="117"/>
      <c r="O48" s="117"/>
      <c r="P48" s="38">
        <f t="shared" si="11"/>
        <v>114</v>
      </c>
      <c r="Q48" s="138" t="s">
        <v>63</v>
      </c>
      <c r="R48" s="31">
        <v>-23</v>
      </c>
      <c r="S48" s="26">
        <f t="shared" si="12"/>
        <v>846</v>
      </c>
      <c r="T48" s="136"/>
      <c r="U48" s="136"/>
      <c r="V48" s="19">
        <f t="shared" si="13"/>
        <v>820</v>
      </c>
      <c r="W48" s="99"/>
      <c r="X48" s="1"/>
      <c r="Y48" s="1"/>
    </row>
    <row r="49" spans="1:25" ht="15.75" customHeight="1">
      <c r="A49" s="114"/>
      <c r="B49" s="118"/>
      <c r="C49" s="117"/>
      <c r="D49" s="19">
        <f t="shared" si="7"/>
        <v>246</v>
      </c>
      <c r="E49" s="122"/>
      <c r="F49" s="123"/>
      <c r="G49" s="26">
        <f t="shared" si="8"/>
        <v>234</v>
      </c>
      <c r="H49" s="133"/>
      <c r="I49" s="117"/>
      <c r="J49" s="19">
        <f t="shared" si="9"/>
        <v>228</v>
      </c>
      <c r="K49" s="122"/>
      <c r="L49" s="123"/>
      <c r="M49" s="26">
        <f t="shared" si="10"/>
        <v>221</v>
      </c>
      <c r="N49" s="117"/>
      <c r="O49" s="117"/>
      <c r="P49" s="38">
        <f t="shared" si="11"/>
        <v>114</v>
      </c>
      <c r="Q49" s="138" t="s">
        <v>64</v>
      </c>
      <c r="R49" s="31">
        <v>-26</v>
      </c>
      <c r="S49" s="26">
        <f t="shared" si="12"/>
        <v>820</v>
      </c>
      <c r="T49" s="136"/>
      <c r="U49" s="136"/>
      <c r="V49" s="19">
        <f t="shared" si="13"/>
        <v>820</v>
      </c>
      <c r="W49" s="139"/>
      <c r="X49" s="1"/>
      <c r="Y49" s="1"/>
    </row>
    <row r="50" spans="1:25" ht="15.75" customHeight="1">
      <c r="A50" s="114"/>
      <c r="B50" s="117"/>
      <c r="C50" s="117"/>
      <c r="D50" s="19">
        <f t="shared" si="7"/>
        <v>246</v>
      </c>
      <c r="E50" s="122"/>
      <c r="F50" s="123"/>
      <c r="G50" s="53">
        <f t="shared" si="8"/>
        <v>234</v>
      </c>
      <c r="H50" s="140"/>
      <c r="I50" s="128"/>
      <c r="J50" s="29">
        <f t="shared" si="9"/>
        <v>228</v>
      </c>
      <c r="K50" s="122"/>
      <c r="L50" s="123"/>
      <c r="M50" s="39">
        <f t="shared" si="10"/>
        <v>221</v>
      </c>
      <c r="N50" s="128"/>
      <c r="O50" s="128"/>
      <c r="P50" s="40">
        <f t="shared" si="11"/>
        <v>114</v>
      </c>
      <c r="Q50" s="122"/>
      <c r="R50" s="123"/>
      <c r="S50" s="39">
        <f t="shared" si="12"/>
        <v>820</v>
      </c>
      <c r="T50" s="141"/>
      <c r="U50" s="141"/>
      <c r="V50" s="55">
        <f t="shared" si="13"/>
        <v>820</v>
      </c>
      <c r="W50" s="142"/>
      <c r="X50" s="1"/>
      <c r="Y50" s="1"/>
    </row>
    <row r="51" spans="1:25" ht="15.75" customHeight="1">
      <c r="A51" s="87"/>
      <c r="B51" s="130" t="s">
        <v>65</v>
      </c>
      <c r="C51" s="81"/>
      <c r="D51" s="82"/>
      <c r="E51" s="130" t="s">
        <v>66</v>
      </c>
      <c r="F51" s="81"/>
      <c r="G51" s="82"/>
      <c r="H51" s="130" t="s">
        <v>67</v>
      </c>
      <c r="I51" s="81"/>
      <c r="J51" s="82"/>
      <c r="K51" s="130" t="s">
        <v>68</v>
      </c>
      <c r="L51" s="81"/>
      <c r="M51" s="82"/>
      <c r="N51" s="130" t="s">
        <v>69</v>
      </c>
      <c r="O51" s="81"/>
      <c r="P51" s="82"/>
      <c r="Q51" s="130" t="s">
        <v>70</v>
      </c>
      <c r="R51" s="81"/>
      <c r="S51" s="82"/>
      <c r="T51" s="130" t="s">
        <v>71</v>
      </c>
      <c r="U51" s="81"/>
      <c r="V51" s="82"/>
      <c r="W51" s="95"/>
      <c r="X51" s="1"/>
      <c r="Y51" s="1"/>
    </row>
    <row r="52" spans="1:25" ht="15.75" customHeight="1">
      <c r="A52" s="51" t="s">
        <v>72</v>
      </c>
      <c r="B52" s="106"/>
      <c r="C52" s="107"/>
      <c r="D52" s="17">
        <f>V50+C52</f>
        <v>820</v>
      </c>
      <c r="E52" s="109"/>
      <c r="F52" s="109"/>
      <c r="G52" s="54">
        <f>D62+F52</f>
        <v>655</v>
      </c>
      <c r="H52" s="110"/>
      <c r="I52" s="111"/>
      <c r="J52" s="17">
        <f>G62+I52</f>
        <v>480</v>
      </c>
      <c r="K52" s="109"/>
      <c r="L52" s="109"/>
      <c r="M52" s="35">
        <f>J62+L52</f>
        <v>315</v>
      </c>
      <c r="N52" s="112"/>
      <c r="O52" s="111"/>
      <c r="P52" s="17">
        <f>M62+O52</f>
        <v>315</v>
      </c>
      <c r="Q52" s="109"/>
      <c r="R52" s="109"/>
      <c r="S52" s="35">
        <f>P62+R52</f>
        <v>315</v>
      </c>
      <c r="T52" s="112"/>
      <c r="U52" s="111"/>
      <c r="V52" s="48">
        <f>S62+U52</f>
        <v>315</v>
      </c>
      <c r="W52" s="143"/>
      <c r="X52" s="1"/>
      <c r="Y52" s="1"/>
    </row>
    <row r="53" spans="1:25" ht="15.75" customHeight="1">
      <c r="A53" s="114"/>
      <c r="B53" s="106"/>
      <c r="C53" s="107"/>
      <c r="D53" s="26">
        <f t="shared" ref="D53:D62" si="14">D52+C53</f>
        <v>820</v>
      </c>
      <c r="E53" s="22" t="s">
        <v>73</v>
      </c>
      <c r="F53" s="144"/>
      <c r="G53" s="19">
        <f t="shared" ref="G53:G62" si="15">G52+F53</f>
        <v>655</v>
      </c>
      <c r="H53" s="116"/>
      <c r="I53" s="107"/>
      <c r="J53" s="26">
        <f t="shared" ref="J53:J62" si="16">J52+I53</f>
        <v>480</v>
      </c>
      <c r="K53" s="117"/>
      <c r="L53" s="117"/>
      <c r="M53" s="38">
        <f t="shared" ref="M53:M62" si="17">M52+L53</f>
        <v>315</v>
      </c>
      <c r="N53" s="106"/>
      <c r="O53" s="107"/>
      <c r="P53" s="26">
        <f t="shared" ref="P53:P62" si="18">P52+O53</f>
        <v>315</v>
      </c>
      <c r="Q53" s="117"/>
      <c r="R53" s="117"/>
      <c r="S53" s="38">
        <f t="shared" ref="S53:S62" si="19">S52+R53</f>
        <v>315</v>
      </c>
      <c r="T53" s="106"/>
      <c r="U53" s="107"/>
      <c r="V53" s="20">
        <f t="shared" ref="V53:V62" si="20">V52+U53</f>
        <v>315</v>
      </c>
      <c r="W53" s="143"/>
      <c r="X53" s="1"/>
      <c r="Y53" s="1"/>
    </row>
    <row r="54" spans="1:25" ht="15.75" customHeight="1">
      <c r="A54" s="114"/>
      <c r="B54" s="37" t="s">
        <v>74</v>
      </c>
      <c r="C54" s="23">
        <v>-75</v>
      </c>
      <c r="D54" s="26">
        <f t="shared" si="14"/>
        <v>745</v>
      </c>
      <c r="E54" s="145" t="s">
        <v>75</v>
      </c>
      <c r="F54" s="145">
        <v>-25</v>
      </c>
      <c r="G54" s="19">
        <f t="shared" si="15"/>
        <v>630</v>
      </c>
      <c r="H54" s="116"/>
      <c r="I54" s="107"/>
      <c r="J54" s="26">
        <f t="shared" si="16"/>
        <v>480</v>
      </c>
      <c r="K54" s="117"/>
      <c r="L54" s="117"/>
      <c r="M54" s="38">
        <f t="shared" si="17"/>
        <v>315</v>
      </c>
      <c r="N54" s="106"/>
      <c r="O54" s="107"/>
      <c r="P54" s="26">
        <f t="shared" si="18"/>
        <v>315</v>
      </c>
      <c r="Q54" s="117"/>
      <c r="R54" s="117"/>
      <c r="S54" s="38">
        <f t="shared" si="19"/>
        <v>315</v>
      </c>
      <c r="T54" s="106"/>
      <c r="U54" s="116"/>
      <c r="V54" s="20">
        <f t="shared" si="20"/>
        <v>315</v>
      </c>
      <c r="W54" s="143"/>
      <c r="X54" s="1"/>
      <c r="Y54" s="1"/>
    </row>
    <row r="55" spans="1:25" ht="15.75" customHeight="1">
      <c r="A55" s="114"/>
      <c r="B55" s="37" t="s">
        <v>76</v>
      </c>
      <c r="C55" s="23">
        <v>-25</v>
      </c>
      <c r="D55" s="26">
        <f t="shared" si="14"/>
        <v>720</v>
      </c>
      <c r="E55" s="145" t="s">
        <v>77</v>
      </c>
      <c r="F55" s="145">
        <v>-50</v>
      </c>
      <c r="G55" s="19">
        <f t="shared" si="15"/>
        <v>580</v>
      </c>
      <c r="H55" s="146" t="s">
        <v>78</v>
      </c>
      <c r="I55" s="147">
        <v>-165</v>
      </c>
      <c r="J55" s="26">
        <f t="shared" si="16"/>
        <v>315</v>
      </c>
      <c r="K55" s="117"/>
      <c r="L55" s="117"/>
      <c r="M55" s="38">
        <f t="shared" si="17"/>
        <v>315</v>
      </c>
      <c r="N55" s="106"/>
      <c r="O55" s="107"/>
      <c r="P55" s="26">
        <f t="shared" si="18"/>
        <v>315</v>
      </c>
      <c r="Q55" s="117"/>
      <c r="R55" s="117"/>
      <c r="S55" s="38">
        <f t="shared" si="19"/>
        <v>315</v>
      </c>
      <c r="T55" s="106"/>
      <c r="U55" s="116"/>
      <c r="V55" s="20">
        <f t="shared" si="20"/>
        <v>315</v>
      </c>
      <c r="W55" s="143"/>
      <c r="X55" s="1"/>
      <c r="Y55" s="1"/>
    </row>
    <row r="56" spans="1:25" ht="15.75" customHeight="1">
      <c r="A56" s="114"/>
      <c r="B56" s="37" t="s">
        <v>79</v>
      </c>
      <c r="C56" s="23">
        <v>-65</v>
      </c>
      <c r="D56" s="26">
        <f t="shared" si="14"/>
        <v>655</v>
      </c>
      <c r="E56" s="145" t="s">
        <v>80</v>
      </c>
      <c r="F56" s="145">
        <v>-50</v>
      </c>
      <c r="G56" s="19">
        <f t="shared" si="15"/>
        <v>530</v>
      </c>
      <c r="H56" s="116"/>
      <c r="I56" s="107"/>
      <c r="J56" s="26">
        <f t="shared" si="16"/>
        <v>315</v>
      </c>
      <c r="K56" s="117"/>
      <c r="L56" s="117"/>
      <c r="M56" s="38">
        <f t="shared" si="17"/>
        <v>315</v>
      </c>
      <c r="N56" s="106"/>
      <c r="O56" s="107"/>
      <c r="P56" s="26">
        <f t="shared" si="18"/>
        <v>315</v>
      </c>
      <c r="Q56" s="133"/>
      <c r="R56" s="117"/>
      <c r="S56" s="38">
        <f t="shared" si="19"/>
        <v>315</v>
      </c>
      <c r="T56" s="106"/>
      <c r="U56" s="116"/>
      <c r="V56" s="20">
        <f t="shared" si="20"/>
        <v>315</v>
      </c>
      <c r="W56" s="143"/>
      <c r="X56" s="1"/>
      <c r="Y56" s="1"/>
    </row>
    <row r="57" spans="1:25" ht="15.75" customHeight="1">
      <c r="A57" s="114"/>
      <c r="B57" s="106"/>
      <c r="C57" s="107"/>
      <c r="D57" s="26">
        <f t="shared" si="14"/>
        <v>655</v>
      </c>
      <c r="E57" s="145" t="s">
        <v>79</v>
      </c>
      <c r="F57" s="145">
        <v>-25</v>
      </c>
      <c r="G57" s="19">
        <f t="shared" si="15"/>
        <v>505</v>
      </c>
      <c r="H57" s="116"/>
      <c r="I57" s="107"/>
      <c r="J57" s="26">
        <f t="shared" si="16"/>
        <v>315</v>
      </c>
      <c r="K57" s="117"/>
      <c r="L57" s="117"/>
      <c r="M57" s="38">
        <f t="shared" si="17"/>
        <v>315</v>
      </c>
      <c r="N57" s="106"/>
      <c r="O57" s="107"/>
      <c r="P57" s="26">
        <f t="shared" si="18"/>
        <v>315</v>
      </c>
      <c r="Q57" s="117"/>
      <c r="R57" s="117"/>
      <c r="S57" s="38">
        <f t="shared" si="19"/>
        <v>315</v>
      </c>
      <c r="T57" s="106"/>
      <c r="U57" s="116"/>
      <c r="V57" s="20">
        <f t="shared" si="20"/>
        <v>315</v>
      </c>
      <c r="W57" s="143"/>
      <c r="X57" s="1"/>
      <c r="Y57" s="1"/>
    </row>
    <row r="58" spans="1:25" ht="15.75" customHeight="1">
      <c r="A58" s="114"/>
      <c r="B58" s="106"/>
      <c r="C58" s="107"/>
      <c r="D58" s="26">
        <f t="shared" si="14"/>
        <v>655</v>
      </c>
      <c r="E58" s="145" t="s">
        <v>81</v>
      </c>
      <c r="F58" s="145">
        <v>-25</v>
      </c>
      <c r="G58" s="19">
        <f t="shared" si="15"/>
        <v>480</v>
      </c>
      <c r="H58" s="116"/>
      <c r="I58" s="107"/>
      <c r="J58" s="26">
        <f t="shared" si="16"/>
        <v>315</v>
      </c>
      <c r="K58" s="117"/>
      <c r="L58" s="117"/>
      <c r="M58" s="38">
        <f t="shared" si="17"/>
        <v>315</v>
      </c>
      <c r="N58" s="106"/>
      <c r="O58" s="107"/>
      <c r="P58" s="26">
        <f t="shared" si="18"/>
        <v>315</v>
      </c>
      <c r="Q58" s="117"/>
      <c r="R58" s="117"/>
      <c r="S58" s="38">
        <f t="shared" si="19"/>
        <v>315</v>
      </c>
      <c r="T58" s="106"/>
      <c r="U58" s="116"/>
      <c r="V58" s="20">
        <f t="shared" si="20"/>
        <v>315</v>
      </c>
      <c r="W58" s="143"/>
      <c r="X58" s="1"/>
      <c r="Y58" s="1"/>
    </row>
    <row r="59" spans="1:25" ht="15.75" customHeight="1">
      <c r="A59" s="114"/>
      <c r="B59" s="106"/>
      <c r="C59" s="107"/>
      <c r="D59" s="26">
        <f t="shared" si="14"/>
        <v>655</v>
      </c>
      <c r="E59" s="117"/>
      <c r="F59" s="117"/>
      <c r="G59" s="19">
        <f t="shared" si="15"/>
        <v>480</v>
      </c>
      <c r="H59" s="116"/>
      <c r="I59" s="107"/>
      <c r="J59" s="26">
        <f t="shared" si="16"/>
        <v>315</v>
      </c>
      <c r="K59" s="117"/>
      <c r="L59" s="117"/>
      <c r="M59" s="38">
        <f t="shared" si="17"/>
        <v>315</v>
      </c>
      <c r="N59" s="106"/>
      <c r="O59" s="107"/>
      <c r="P59" s="26">
        <f t="shared" si="18"/>
        <v>315</v>
      </c>
      <c r="Q59" s="117"/>
      <c r="R59" s="117"/>
      <c r="S59" s="38">
        <f t="shared" si="19"/>
        <v>315</v>
      </c>
      <c r="T59" s="106"/>
      <c r="U59" s="116"/>
      <c r="V59" s="20">
        <f t="shared" si="20"/>
        <v>315</v>
      </c>
      <c r="W59" s="143"/>
      <c r="X59" s="1"/>
      <c r="Y59" s="1"/>
    </row>
    <row r="60" spans="1:25" ht="15.75" customHeight="1">
      <c r="A60" s="114"/>
      <c r="B60" s="122"/>
      <c r="C60" s="123"/>
      <c r="D60" s="26">
        <f t="shared" si="14"/>
        <v>655</v>
      </c>
      <c r="E60" s="117"/>
      <c r="F60" s="117"/>
      <c r="G60" s="19">
        <f t="shared" si="15"/>
        <v>480</v>
      </c>
      <c r="H60" s="124"/>
      <c r="I60" s="123"/>
      <c r="J60" s="26">
        <f t="shared" si="16"/>
        <v>315</v>
      </c>
      <c r="K60" s="117"/>
      <c r="L60" s="117"/>
      <c r="M60" s="38">
        <f t="shared" si="17"/>
        <v>315</v>
      </c>
      <c r="N60" s="122"/>
      <c r="O60" s="123"/>
      <c r="P60" s="26">
        <f t="shared" si="18"/>
        <v>315</v>
      </c>
      <c r="Q60" s="117"/>
      <c r="R60" s="117"/>
      <c r="S60" s="38">
        <f t="shared" si="19"/>
        <v>315</v>
      </c>
      <c r="T60" s="106"/>
      <c r="U60" s="116"/>
      <c r="V60" s="20">
        <f t="shared" si="20"/>
        <v>315</v>
      </c>
      <c r="W60" s="143"/>
      <c r="X60" s="1"/>
      <c r="Y60" s="1"/>
    </row>
    <row r="61" spans="1:25" ht="15.75" customHeight="1">
      <c r="A61" s="114"/>
      <c r="B61" s="122"/>
      <c r="C61" s="123"/>
      <c r="D61" s="26">
        <f t="shared" si="14"/>
        <v>655</v>
      </c>
      <c r="E61" s="117"/>
      <c r="F61" s="117"/>
      <c r="G61" s="19">
        <f t="shared" si="15"/>
        <v>480</v>
      </c>
      <c r="H61" s="124"/>
      <c r="I61" s="123"/>
      <c r="J61" s="26">
        <f t="shared" si="16"/>
        <v>315</v>
      </c>
      <c r="K61" s="117"/>
      <c r="L61" s="117"/>
      <c r="M61" s="38">
        <f t="shared" si="17"/>
        <v>315</v>
      </c>
      <c r="N61" s="122"/>
      <c r="O61" s="123"/>
      <c r="P61" s="26">
        <f t="shared" si="18"/>
        <v>315</v>
      </c>
      <c r="Q61" s="117"/>
      <c r="R61" s="117"/>
      <c r="S61" s="38">
        <f t="shared" si="19"/>
        <v>315</v>
      </c>
      <c r="T61" s="122"/>
      <c r="U61" s="124"/>
      <c r="V61" s="20">
        <f t="shared" si="20"/>
        <v>315</v>
      </c>
      <c r="W61" s="143"/>
      <c r="X61" s="1"/>
      <c r="Y61" s="1"/>
    </row>
    <row r="62" spans="1:25" ht="15.75" customHeight="1">
      <c r="A62" s="114"/>
      <c r="B62" s="126"/>
      <c r="C62" s="127"/>
      <c r="D62" s="59">
        <f t="shared" si="14"/>
        <v>655</v>
      </c>
      <c r="E62" s="128"/>
      <c r="F62" s="128"/>
      <c r="G62" s="55">
        <f t="shared" si="15"/>
        <v>480</v>
      </c>
      <c r="H62" s="124"/>
      <c r="I62" s="123"/>
      <c r="J62" s="39">
        <f t="shared" si="16"/>
        <v>315</v>
      </c>
      <c r="K62" s="128"/>
      <c r="L62" s="128"/>
      <c r="M62" s="40">
        <f t="shared" si="17"/>
        <v>315</v>
      </c>
      <c r="N62" s="122"/>
      <c r="O62" s="123"/>
      <c r="P62" s="39">
        <f t="shared" si="18"/>
        <v>315</v>
      </c>
      <c r="Q62" s="128"/>
      <c r="R62" s="128"/>
      <c r="S62" s="40">
        <f t="shared" si="19"/>
        <v>315</v>
      </c>
      <c r="T62" s="122"/>
      <c r="U62" s="123"/>
      <c r="V62" s="49">
        <f t="shared" si="20"/>
        <v>315</v>
      </c>
      <c r="W62" s="143"/>
      <c r="X62" s="1"/>
      <c r="Y62" s="1"/>
    </row>
    <row r="63" spans="1:25" ht="15.75" customHeight="1">
      <c r="A63" s="87"/>
      <c r="B63" s="130" t="s">
        <v>82</v>
      </c>
      <c r="C63" s="81"/>
      <c r="D63" s="82"/>
      <c r="E63" s="130" t="s">
        <v>83</v>
      </c>
      <c r="F63" s="81"/>
      <c r="G63" s="82"/>
      <c r="H63" s="130" t="s">
        <v>84</v>
      </c>
      <c r="I63" s="81"/>
      <c r="J63" s="82"/>
      <c r="K63" s="130" t="s">
        <v>85</v>
      </c>
      <c r="L63" s="81"/>
      <c r="M63" s="82"/>
      <c r="N63" s="130" t="s">
        <v>86</v>
      </c>
      <c r="O63" s="81"/>
      <c r="P63" s="82"/>
      <c r="Q63" s="130" t="s">
        <v>87</v>
      </c>
      <c r="R63" s="81"/>
      <c r="S63" s="82"/>
      <c r="T63" s="130" t="s">
        <v>88</v>
      </c>
      <c r="U63" s="81"/>
      <c r="V63" s="82"/>
      <c r="W63" s="143"/>
      <c r="X63" s="1"/>
      <c r="Y63" s="1"/>
    </row>
    <row r="64" spans="1:25" ht="15.75" customHeight="1">
      <c r="A64" s="51" t="s">
        <v>89</v>
      </c>
      <c r="B64" s="117"/>
      <c r="C64" s="117"/>
      <c r="D64" s="15">
        <f>V62+C64</f>
        <v>315</v>
      </c>
      <c r="E64" s="112"/>
      <c r="F64" s="111"/>
      <c r="G64" s="36">
        <f>D74+F64</f>
        <v>150</v>
      </c>
      <c r="H64" s="132"/>
      <c r="I64" s="109"/>
      <c r="J64" s="42">
        <f>G74+I64</f>
        <v>150</v>
      </c>
      <c r="K64" s="112"/>
      <c r="L64" s="111"/>
      <c r="M64" s="18">
        <f>J74+L64</f>
        <v>150</v>
      </c>
      <c r="N64" s="113"/>
      <c r="O64" s="109"/>
      <c r="P64" s="35">
        <f>M74+O64</f>
        <v>150</v>
      </c>
      <c r="Q64" s="112"/>
      <c r="R64" s="111"/>
      <c r="S64" s="18">
        <f>P74+R64</f>
        <v>150</v>
      </c>
      <c r="T64" s="113"/>
      <c r="U64" s="109"/>
      <c r="V64" s="50">
        <f>S74+U64</f>
        <v>927</v>
      </c>
      <c r="W64" s="143"/>
      <c r="X64" s="1"/>
      <c r="Y64" s="1"/>
    </row>
    <row r="65" spans="1:25" ht="15.75" customHeight="1">
      <c r="A65" s="114"/>
      <c r="B65" s="38" t="s">
        <v>74</v>
      </c>
      <c r="C65" s="38">
        <v>-75</v>
      </c>
      <c r="D65" s="19">
        <f t="shared" ref="D65:D74" si="21">D64+C65</f>
        <v>240</v>
      </c>
      <c r="E65" s="106"/>
      <c r="F65" s="107"/>
      <c r="G65" s="26">
        <f t="shared" ref="G65:G74" si="22">G64+F65</f>
        <v>150</v>
      </c>
      <c r="H65" s="133"/>
      <c r="I65" s="117"/>
      <c r="J65" s="19">
        <f t="shared" ref="J65:J74" si="23">J64+I65</f>
        <v>150</v>
      </c>
      <c r="K65" s="106"/>
      <c r="L65" s="107"/>
      <c r="M65" s="26">
        <f t="shared" ref="M65:M74" si="24">M64+L65</f>
        <v>150</v>
      </c>
      <c r="N65" s="118"/>
      <c r="O65" s="117"/>
      <c r="P65" s="38">
        <f t="shared" ref="P65:P74" si="25">P64+O65</f>
        <v>150</v>
      </c>
      <c r="Q65" s="134" t="s">
        <v>53</v>
      </c>
      <c r="R65" s="135">
        <v>802</v>
      </c>
      <c r="S65" s="26">
        <f t="shared" ref="S65:S74" si="26">S64+R65</f>
        <v>952</v>
      </c>
      <c r="T65" s="136"/>
      <c r="U65" s="136"/>
      <c r="V65" s="45">
        <f t="shared" ref="V65:V74" si="27">V64+U65</f>
        <v>927</v>
      </c>
      <c r="W65" s="143"/>
      <c r="X65" s="1"/>
      <c r="Y65" s="1"/>
    </row>
    <row r="66" spans="1:25" ht="15.75" customHeight="1">
      <c r="A66" s="114"/>
      <c r="B66" s="38" t="s">
        <v>76</v>
      </c>
      <c r="C66" s="38">
        <v>-25</v>
      </c>
      <c r="D66" s="19">
        <f t="shared" si="21"/>
        <v>215</v>
      </c>
      <c r="E66" s="106"/>
      <c r="F66" s="107"/>
      <c r="G66" s="26">
        <f t="shared" si="22"/>
        <v>150</v>
      </c>
      <c r="H66" s="133"/>
      <c r="I66" s="117"/>
      <c r="J66" s="19">
        <f t="shared" si="23"/>
        <v>150</v>
      </c>
      <c r="K66" s="106"/>
      <c r="L66" s="107"/>
      <c r="M66" s="26">
        <f t="shared" si="24"/>
        <v>150</v>
      </c>
      <c r="N66" s="117"/>
      <c r="O66" s="117"/>
      <c r="P66" s="38">
        <f t="shared" si="25"/>
        <v>150</v>
      </c>
      <c r="Q66" s="134" t="s">
        <v>20</v>
      </c>
      <c r="R66" s="135">
        <v>-25</v>
      </c>
      <c r="S66" s="26">
        <f t="shared" si="26"/>
        <v>927</v>
      </c>
      <c r="T66" s="136"/>
      <c r="U66" s="136"/>
      <c r="V66" s="45">
        <f t="shared" si="27"/>
        <v>927</v>
      </c>
      <c r="W66" s="143"/>
      <c r="X66" s="1"/>
      <c r="Y66" s="1"/>
    </row>
    <row r="67" spans="1:25" ht="15.75" customHeight="1">
      <c r="A67" s="114"/>
      <c r="B67" s="38" t="s">
        <v>90</v>
      </c>
      <c r="C67" s="38">
        <v>-65</v>
      </c>
      <c r="D67" s="19">
        <f t="shared" si="21"/>
        <v>150</v>
      </c>
      <c r="E67" s="106"/>
      <c r="F67" s="107"/>
      <c r="G67" s="26">
        <f t="shared" si="22"/>
        <v>150</v>
      </c>
      <c r="H67" s="133"/>
      <c r="I67" s="117"/>
      <c r="J67" s="19">
        <f t="shared" si="23"/>
        <v>150</v>
      </c>
      <c r="K67" s="106"/>
      <c r="L67" s="107"/>
      <c r="M67" s="26">
        <f t="shared" si="24"/>
        <v>150</v>
      </c>
      <c r="N67" s="117"/>
      <c r="O67" s="117"/>
      <c r="P67" s="38">
        <f t="shared" si="25"/>
        <v>150</v>
      </c>
      <c r="Q67" s="106"/>
      <c r="R67" s="107"/>
      <c r="S67" s="26">
        <f t="shared" si="26"/>
        <v>927</v>
      </c>
      <c r="T67" s="136"/>
      <c r="U67" s="136"/>
      <c r="V67" s="45">
        <f t="shared" si="27"/>
        <v>927</v>
      </c>
      <c r="W67" s="143"/>
      <c r="X67" s="1"/>
      <c r="Y67" s="1"/>
    </row>
    <row r="68" spans="1:25" ht="15.75" customHeight="1">
      <c r="A68" s="114"/>
      <c r="B68" s="117"/>
      <c r="C68" s="117"/>
      <c r="D68" s="19">
        <f t="shared" si="21"/>
        <v>150</v>
      </c>
      <c r="E68" s="106"/>
      <c r="F68" s="107"/>
      <c r="G68" s="26">
        <f t="shared" si="22"/>
        <v>150</v>
      </c>
      <c r="H68" s="133"/>
      <c r="I68" s="117"/>
      <c r="J68" s="19">
        <f t="shared" si="23"/>
        <v>150</v>
      </c>
      <c r="K68" s="106"/>
      <c r="L68" s="107"/>
      <c r="M68" s="26">
        <f t="shared" si="24"/>
        <v>150</v>
      </c>
      <c r="N68" s="117"/>
      <c r="O68" s="117"/>
      <c r="P68" s="38">
        <f t="shared" si="25"/>
        <v>150</v>
      </c>
      <c r="Q68" s="106"/>
      <c r="R68" s="107"/>
      <c r="S68" s="26">
        <f t="shared" si="26"/>
        <v>927</v>
      </c>
      <c r="T68" s="136"/>
      <c r="U68" s="136"/>
      <c r="V68" s="45">
        <f t="shared" si="27"/>
        <v>927</v>
      </c>
      <c r="W68" s="143"/>
      <c r="X68" s="1"/>
      <c r="Y68" s="1"/>
    </row>
    <row r="69" spans="1:25" ht="15.75" customHeight="1">
      <c r="A69" s="114"/>
      <c r="B69" s="118"/>
      <c r="C69" s="117"/>
      <c r="D69" s="19">
        <f t="shared" si="21"/>
        <v>150</v>
      </c>
      <c r="E69" s="106"/>
      <c r="F69" s="107"/>
      <c r="G69" s="26">
        <f t="shared" si="22"/>
        <v>150</v>
      </c>
      <c r="H69" s="133"/>
      <c r="I69" s="117"/>
      <c r="J69" s="19">
        <f t="shared" si="23"/>
        <v>150</v>
      </c>
      <c r="K69" s="106"/>
      <c r="L69" s="107"/>
      <c r="M69" s="26">
        <f t="shared" si="24"/>
        <v>150</v>
      </c>
      <c r="N69" s="117"/>
      <c r="O69" s="117"/>
      <c r="P69" s="38">
        <f t="shared" si="25"/>
        <v>150</v>
      </c>
      <c r="Q69" s="106"/>
      <c r="R69" s="107"/>
      <c r="S69" s="26">
        <f t="shared" si="26"/>
        <v>927</v>
      </c>
      <c r="T69" s="136"/>
      <c r="U69" s="136"/>
      <c r="V69" s="45">
        <f t="shared" si="27"/>
        <v>927</v>
      </c>
      <c r="W69" s="143"/>
      <c r="X69" s="1"/>
      <c r="Y69" s="1"/>
    </row>
    <row r="70" spans="1:25" ht="15.75" customHeight="1">
      <c r="A70" s="114"/>
      <c r="B70" s="117"/>
      <c r="C70" s="117"/>
      <c r="D70" s="19">
        <f t="shared" si="21"/>
        <v>150</v>
      </c>
      <c r="E70" s="106"/>
      <c r="F70" s="107"/>
      <c r="G70" s="26">
        <f t="shared" si="22"/>
        <v>150</v>
      </c>
      <c r="H70" s="133"/>
      <c r="I70" s="117"/>
      <c r="J70" s="19">
        <f t="shared" si="23"/>
        <v>150</v>
      </c>
      <c r="K70" s="106"/>
      <c r="L70" s="107"/>
      <c r="M70" s="26">
        <f t="shared" si="24"/>
        <v>150</v>
      </c>
      <c r="N70" s="117"/>
      <c r="O70" s="117"/>
      <c r="P70" s="38">
        <f t="shared" si="25"/>
        <v>150</v>
      </c>
      <c r="Q70" s="106"/>
      <c r="R70" s="107"/>
      <c r="S70" s="26">
        <f t="shared" si="26"/>
        <v>927</v>
      </c>
      <c r="T70" s="136"/>
      <c r="U70" s="136"/>
      <c r="V70" s="45">
        <f t="shared" si="27"/>
        <v>927</v>
      </c>
      <c r="W70" s="143"/>
      <c r="X70" s="1"/>
      <c r="Y70" s="1"/>
    </row>
    <row r="71" spans="1:25" ht="15.75" customHeight="1">
      <c r="A71" s="114"/>
      <c r="B71" s="117"/>
      <c r="C71" s="117"/>
      <c r="D71" s="19">
        <f t="shared" si="21"/>
        <v>150</v>
      </c>
      <c r="E71" s="106"/>
      <c r="F71" s="107"/>
      <c r="G71" s="26">
        <f t="shared" si="22"/>
        <v>150</v>
      </c>
      <c r="H71" s="133"/>
      <c r="I71" s="117"/>
      <c r="J71" s="19">
        <f t="shared" si="23"/>
        <v>150</v>
      </c>
      <c r="K71" s="106"/>
      <c r="L71" s="107"/>
      <c r="M71" s="26">
        <f t="shared" si="24"/>
        <v>150</v>
      </c>
      <c r="N71" s="117"/>
      <c r="O71" s="117"/>
      <c r="P71" s="38">
        <f t="shared" si="25"/>
        <v>150</v>
      </c>
      <c r="Q71" s="106"/>
      <c r="R71" s="107"/>
      <c r="S71" s="26">
        <f t="shared" si="26"/>
        <v>927</v>
      </c>
      <c r="T71" s="136"/>
      <c r="U71" s="136"/>
      <c r="V71" s="45">
        <f t="shared" si="27"/>
        <v>927</v>
      </c>
      <c r="W71" s="143"/>
      <c r="X71" s="1"/>
      <c r="Y71" s="1"/>
    </row>
    <row r="72" spans="1:25" ht="15.75" customHeight="1">
      <c r="A72" s="114"/>
      <c r="B72" s="117"/>
      <c r="C72" s="117"/>
      <c r="D72" s="19">
        <f t="shared" si="21"/>
        <v>150</v>
      </c>
      <c r="E72" s="106"/>
      <c r="F72" s="107"/>
      <c r="G72" s="26">
        <f t="shared" si="22"/>
        <v>150</v>
      </c>
      <c r="H72" s="133"/>
      <c r="I72" s="117"/>
      <c r="J72" s="19">
        <f t="shared" si="23"/>
        <v>150</v>
      </c>
      <c r="K72" s="106"/>
      <c r="L72" s="107"/>
      <c r="M72" s="26">
        <f t="shared" si="24"/>
        <v>150</v>
      </c>
      <c r="N72" s="117"/>
      <c r="O72" s="117"/>
      <c r="P72" s="38">
        <f t="shared" si="25"/>
        <v>150</v>
      </c>
      <c r="Q72" s="106"/>
      <c r="R72" s="107"/>
      <c r="S72" s="26">
        <f t="shared" si="26"/>
        <v>927</v>
      </c>
      <c r="T72" s="136"/>
      <c r="U72" s="136"/>
      <c r="V72" s="45">
        <f t="shared" si="27"/>
        <v>927</v>
      </c>
      <c r="W72" s="143"/>
      <c r="X72" s="1"/>
      <c r="Y72" s="1"/>
    </row>
    <row r="73" spans="1:25" ht="15.75" customHeight="1">
      <c r="A73" s="114"/>
      <c r="B73" s="117"/>
      <c r="C73" s="117"/>
      <c r="D73" s="19">
        <f t="shared" si="21"/>
        <v>150</v>
      </c>
      <c r="E73" s="122"/>
      <c r="F73" s="123"/>
      <c r="G73" s="26">
        <f t="shared" si="22"/>
        <v>150</v>
      </c>
      <c r="H73" s="133"/>
      <c r="I73" s="117"/>
      <c r="J73" s="19">
        <f t="shared" si="23"/>
        <v>150</v>
      </c>
      <c r="K73" s="122"/>
      <c r="L73" s="123"/>
      <c r="M73" s="26">
        <f t="shared" si="24"/>
        <v>150</v>
      </c>
      <c r="N73" s="117"/>
      <c r="O73" s="117"/>
      <c r="P73" s="38">
        <f t="shared" si="25"/>
        <v>150</v>
      </c>
      <c r="Q73" s="122"/>
      <c r="R73" s="123"/>
      <c r="S73" s="26">
        <f t="shared" si="26"/>
        <v>927</v>
      </c>
      <c r="T73" s="136"/>
      <c r="U73" s="136"/>
      <c r="V73" s="45">
        <f t="shared" si="27"/>
        <v>927</v>
      </c>
      <c r="W73" s="143"/>
      <c r="X73" s="1"/>
      <c r="Y73" s="1"/>
    </row>
    <row r="74" spans="1:25" ht="15.75" customHeight="1">
      <c r="A74" s="114"/>
      <c r="B74" s="117"/>
      <c r="C74" s="117"/>
      <c r="D74" s="19">
        <f t="shared" si="21"/>
        <v>150</v>
      </c>
      <c r="E74" s="122"/>
      <c r="F74" s="123"/>
      <c r="G74" s="53">
        <f t="shared" si="22"/>
        <v>150</v>
      </c>
      <c r="H74" s="140"/>
      <c r="I74" s="128"/>
      <c r="J74" s="29">
        <f t="shared" si="23"/>
        <v>150</v>
      </c>
      <c r="K74" s="122"/>
      <c r="L74" s="123"/>
      <c r="M74" s="39">
        <f t="shared" si="24"/>
        <v>150</v>
      </c>
      <c r="N74" s="128"/>
      <c r="O74" s="128"/>
      <c r="P74" s="40">
        <f t="shared" si="25"/>
        <v>150</v>
      </c>
      <c r="Q74" s="122"/>
      <c r="R74" s="123"/>
      <c r="S74" s="39">
        <f t="shared" si="26"/>
        <v>927</v>
      </c>
      <c r="T74" s="141"/>
      <c r="U74" s="141"/>
      <c r="V74" s="46">
        <f t="shared" si="27"/>
        <v>927</v>
      </c>
      <c r="W74" s="143"/>
      <c r="X74" s="1"/>
      <c r="Y74" s="1"/>
    </row>
    <row r="75" spans="1:25" ht="15.75" customHeight="1">
      <c r="A75" s="87"/>
      <c r="B75" s="130" t="s">
        <v>91</v>
      </c>
      <c r="C75" s="81"/>
      <c r="D75" s="82"/>
      <c r="E75" s="130" t="s">
        <v>92</v>
      </c>
      <c r="F75" s="81"/>
      <c r="G75" s="82"/>
      <c r="H75" s="130" t="s">
        <v>93</v>
      </c>
      <c r="I75" s="81"/>
      <c r="J75" s="82"/>
      <c r="K75" s="130" t="s">
        <v>94</v>
      </c>
      <c r="L75" s="81"/>
      <c r="M75" s="82"/>
      <c r="N75" s="130" t="s">
        <v>95</v>
      </c>
      <c r="O75" s="81"/>
      <c r="P75" s="82"/>
      <c r="Q75" s="130" t="s">
        <v>96</v>
      </c>
      <c r="R75" s="81"/>
      <c r="S75" s="82"/>
      <c r="T75" s="130" t="s">
        <v>97</v>
      </c>
      <c r="U75" s="81"/>
      <c r="V75" s="82"/>
      <c r="W75" s="143"/>
      <c r="X75" s="1"/>
      <c r="Y75" s="1"/>
    </row>
    <row r="76" spans="1:25" ht="15.75" customHeight="1">
      <c r="A76" s="51" t="s">
        <v>98</v>
      </c>
      <c r="B76" s="37" t="s">
        <v>74</v>
      </c>
      <c r="C76" s="23">
        <v>-75</v>
      </c>
      <c r="D76" s="17">
        <f>V74+C76</f>
        <v>852</v>
      </c>
      <c r="E76" s="109"/>
      <c r="F76" s="109"/>
      <c r="G76" s="42">
        <f>D86+F76</f>
        <v>762</v>
      </c>
      <c r="H76" s="112"/>
      <c r="I76" s="111"/>
      <c r="J76" s="17">
        <f>G86+I76</f>
        <v>762</v>
      </c>
      <c r="K76" s="109"/>
      <c r="L76" s="109"/>
      <c r="M76" s="35">
        <f>J86+L76</f>
        <v>762</v>
      </c>
      <c r="N76" s="112"/>
      <c r="O76" s="111"/>
      <c r="P76" s="17">
        <f>M86+O76</f>
        <v>762</v>
      </c>
      <c r="Q76" s="109"/>
      <c r="R76" s="109"/>
      <c r="S76" s="35">
        <f>P86+R76</f>
        <v>762</v>
      </c>
      <c r="T76" s="112"/>
      <c r="U76" s="111"/>
      <c r="V76" s="48">
        <f>S86+U76</f>
        <v>762</v>
      </c>
      <c r="W76" s="143"/>
      <c r="X76" s="1"/>
      <c r="Y76" s="1"/>
    </row>
    <row r="77" spans="1:25" ht="15.75" customHeight="1">
      <c r="A77" s="114"/>
      <c r="B77" s="37" t="s">
        <v>76</v>
      </c>
      <c r="C77" s="23">
        <v>-25</v>
      </c>
      <c r="D77" s="26">
        <f t="shared" ref="D77:D86" si="28">D76+C77</f>
        <v>827</v>
      </c>
      <c r="E77" s="117"/>
      <c r="F77" s="117"/>
      <c r="G77" s="19">
        <f t="shared" ref="G77:G86" si="29">G76+F77</f>
        <v>762</v>
      </c>
      <c r="H77" s="106"/>
      <c r="I77" s="107"/>
      <c r="J77" s="26">
        <f t="shared" ref="J77:J86" si="30">J76+I77</f>
        <v>762</v>
      </c>
      <c r="K77" s="117"/>
      <c r="L77" s="117"/>
      <c r="M77" s="38">
        <f t="shared" ref="M77:M86" si="31">M76+L77</f>
        <v>762</v>
      </c>
      <c r="N77" s="122"/>
      <c r="O77" s="123"/>
      <c r="P77" s="26">
        <f t="shared" ref="P77:P86" si="32">P76+O77</f>
        <v>762</v>
      </c>
      <c r="Q77" s="117"/>
      <c r="R77" s="117"/>
      <c r="S77" s="38">
        <f t="shared" ref="S77:S86" si="33">S76+R77</f>
        <v>762</v>
      </c>
      <c r="T77" s="106"/>
      <c r="U77" s="107"/>
      <c r="V77" s="20">
        <f t="shared" ref="V77:V86" si="34">V76+U77</f>
        <v>762</v>
      </c>
      <c r="W77" s="143"/>
      <c r="X77" s="1"/>
      <c r="Y77" s="1"/>
    </row>
    <row r="78" spans="1:25" ht="15.75" customHeight="1">
      <c r="A78" s="114"/>
      <c r="B78" s="37" t="s">
        <v>79</v>
      </c>
      <c r="C78" s="23">
        <v>-65</v>
      </c>
      <c r="D78" s="26">
        <f t="shared" si="28"/>
        <v>762</v>
      </c>
      <c r="E78" s="117"/>
      <c r="F78" s="117"/>
      <c r="G78" s="19">
        <f t="shared" si="29"/>
        <v>762</v>
      </c>
      <c r="H78" s="106"/>
      <c r="I78" s="107"/>
      <c r="J78" s="26">
        <f t="shared" si="30"/>
        <v>762</v>
      </c>
      <c r="K78" s="117"/>
      <c r="L78" s="117"/>
      <c r="M78" s="38">
        <f t="shared" si="31"/>
        <v>762</v>
      </c>
      <c r="N78" s="122"/>
      <c r="O78" s="123"/>
      <c r="P78" s="26">
        <f t="shared" si="32"/>
        <v>762</v>
      </c>
      <c r="Q78" s="117"/>
      <c r="R78" s="117"/>
      <c r="S78" s="38">
        <f t="shared" si="33"/>
        <v>762</v>
      </c>
      <c r="T78" s="106"/>
      <c r="U78" s="116"/>
      <c r="V78" s="20">
        <f t="shared" si="34"/>
        <v>762</v>
      </c>
      <c r="W78" s="143"/>
      <c r="X78" s="1"/>
      <c r="Y78" s="1"/>
    </row>
    <row r="79" spans="1:25" ht="15.75" customHeight="1">
      <c r="A79" s="114"/>
      <c r="B79" s="106"/>
      <c r="C79" s="107"/>
      <c r="D79" s="26">
        <f t="shared" si="28"/>
        <v>762</v>
      </c>
      <c r="E79" s="117"/>
      <c r="F79" s="117"/>
      <c r="G79" s="19">
        <f t="shared" si="29"/>
        <v>762</v>
      </c>
      <c r="H79" s="106"/>
      <c r="I79" s="107"/>
      <c r="J79" s="26">
        <f t="shared" si="30"/>
        <v>762</v>
      </c>
      <c r="K79" s="117"/>
      <c r="L79" s="117"/>
      <c r="M79" s="38">
        <f t="shared" si="31"/>
        <v>762</v>
      </c>
      <c r="N79" s="122"/>
      <c r="O79" s="123"/>
      <c r="P79" s="26">
        <f t="shared" si="32"/>
        <v>762</v>
      </c>
      <c r="Q79" s="117"/>
      <c r="R79" s="117"/>
      <c r="S79" s="38">
        <f t="shared" si="33"/>
        <v>762</v>
      </c>
      <c r="T79" s="106"/>
      <c r="U79" s="116"/>
      <c r="V79" s="20">
        <f t="shared" si="34"/>
        <v>762</v>
      </c>
      <c r="W79" s="143"/>
      <c r="X79" s="1"/>
      <c r="Y79" s="1"/>
    </row>
    <row r="80" spans="1:25" ht="15.75" customHeight="1">
      <c r="A80" s="114"/>
      <c r="B80" s="106"/>
      <c r="C80" s="107"/>
      <c r="D80" s="26">
        <f t="shared" si="28"/>
        <v>762</v>
      </c>
      <c r="E80" s="117"/>
      <c r="F80" s="117"/>
      <c r="G80" s="19">
        <f t="shared" si="29"/>
        <v>762</v>
      </c>
      <c r="H80" s="106"/>
      <c r="I80" s="107"/>
      <c r="J80" s="26">
        <f t="shared" si="30"/>
        <v>762</v>
      </c>
      <c r="K80" s="117"/>
      <c r="L80" s="117"/>
      <c r="M80" s="38">
        <f t="shared" si="31"/>
        <v>762</v>
      </c>
      <c r="N80" s="122"/>
      <c r="O80" s="123"/>
      <c r="P80" s="26">
        <f t="shared" si="32"/>
        <v>762</v>
      </c>
      <c r="Q80" s="117"/>
      <c r="R80" s="117"/>
      <c r="S80" s="38">
        <f t="shared" si="33"/>
        <v>762</v>
      </c>
      <c r="T80" s="106"/>
      <c r="U80" s="116"/>
      <c r="V80" s="20">
        <f t="shared" si="34"/>
        <v>762</v>
      </c>
      <c r="W80" s="143"/>
      <c r="X80" s="1"/>
      <c r="Y80" s="1"/>
    </row>
    <row r="81" spans="1:25" ht="15.75" customHeight="1">
      <c r="A81" s="114"/>
      <c r="B81" s="106"/>
      <c r="C81" s="107"/>
      <c r="D81" s="26">
        <f t="shared" si="28"/>
        <v>762</v>
      </c>
      <c r="E81" s="117"/>
      <c r="F81" s="117"/>
      <c r="G81" s="19">
        <f t="shared" si="29"/>
        <v>762</v>
      </c>
      <c r="H81" s="106"/>
      <c r="I81" s="107"/>
      <c r="J81" s="26">
        <f t="shared" si="30"/>
        <v>762</v>
      </c>
      <c r="K81" s="117"/>
      <c r="L81" s="117"/>
      <c r="M81" s="38">
        <f t="shared" si="31"/>
        <v>762</v>
      </c>
      <c r="N81" s="122"/>
      <c r="O81" s="123"/>
      <c r="P81" s="26">
        <f t="shared" si="32"/>
        <v>762</v>
      </c>
      <c r="Q81" s="117"/>
      <c r="R81" s="117"/>
      <c r="S81" s="38">
        <f t="shared" si="33"/>
        <v>762</v>
      </c>
      <c r="T81" s="106"/>
      <c r="U81" s="116"/>
      <c r="V81" s="20">
        <f t="shared" si="34"/>
        <v>762</v>
      </c>
      <c r="W81" s="143"/>
      <c r="X81" s="1"/>
      <c r="Y81" s="1"/>
    </row>
    <row r="82" spans="1:25" ht="15.75" customHeight="1">
      <c r="A82" s="114"/>
      <c r="B82" s="106"/>
      <c r="C82" s="107"/>
      <c r="D82" s="26">
        <f t="shared" si="28"/>
        <v>762</v>
      </c>
      <c r="E82" s="117"/>
      <c r="F82" s="117"/>
      <c r="G82" s="19">
        <f t="shared" si="29"/>
        <v>762</v>
      </c>
      <c r="H82" s="106"/>
      <c r="I82" s="107"/>
      <c r="J82" s="26">
        <f t="shared" si="30"/>
        <v>762</v>
      </c>
      <c r="K82" s="117"/>
      <c r="L82" s="117"/>
      <c r="M82" s="38">
        <f t="shared" si="31"/>
        <v>762</v>
      </c>
      <c r="N82" s="122"/>
      <c r="O82" s="123"/>
      <c r="P82" s="26">
        <f t="shared" si="32"/>
        <v>762</v>
      </c>
      <c r="Q82" s="117"/>
      <c r="R82" s="117"/>
      <c r="S82" s="38">
        <f t="shared" si="33"/>
        <v>762</v>
      </c>
      <c r="T82" s="106"/>
      <c r="U82" s="116"/>
      <c r="V82" s="20">
        <f t="shared" si="34"/>
        <v>762</v>
      </c>
      <c r="W82" s="143"/>
      <c r="X82" s="1"/>
      <c r="Y82" s="1"/>
    </row>
    <row r="83" spans="1:25" ht="15.75" customHeight="1">
      <c r="A83" s="114"/>
      <c r="B83" s="106"/>
      <c r="C83" s="107"/>
      <c r="D83" s="26">
        <f t="shared" si="28"/>
        <v>762</v>
      </c>
      <c r="E83" s="117"/>
      <c r="F83" s="117"/>
      <c r="G83" s="19">
        <f t="shared" si="29"/>
        <v>762</v>
      </c>
      <c r="H83" s="106"/>
      <c r="I83" s="107"/>
      <c r="J83" s="26">
        <f t="shared" si="30"/>
        <v>762</v>
      </c>
      <c r="K83" s="117"/>
      <c r="L83" s="117"/>
      <c r="M83" s="38">
        <f t="shared" si="31"/>
        <v>762</v>
      </c>
      <c r="N83" s="122"/>
      <c r="O83" s="123"/>
      <c r="P83" s="26">
        <f t="shared" si="32"/>
        <v>762</v>
      </c>
      <c r="Q83" s="117"/>
      <c r="R83" s="117"/>
      <c r="S83" s="38">
        <f t="shared" si="33"/>
        <v>762</v>
      </c>
      <c r="T83" s="106"/>
      <c r="U83" s="116"/>
      <c r="V83" s="20">
        <f t="shared" si="34"/>
        <v>762</v>
      </c>
      <c r="W83" s="143"/>
      <c r="X83" s="1"/>
      <c r="Y83" s="1"/>
    </row>
    <row r="84" spans="1:25" ht="15.75" customHeight="1">
      <c r="A84" s="114"/>
      <c r="B84" s="122"/>
      <c r="C84" s="123"/>
      <c r="D84" s="26">
        <f t="shared" si="28"/>
        <v>762</v>
      </c>
      <c r="E84" s="117"/>
      <c r="F84" s="117"/>
      <c r="G84" s="19">
        <f t="shared" si="29"/>
        <v>762</v>
      </c>
      <c r="H84" s="122"/>
      <c r="I84" s="123"/>
      <c r="J84" s="26">
        <f t="shared" si="30"/>
        <v>762</v>
      </c>
      <c r="K84" s="117"/>
      <c r="L84" s="117"/>
      <c r="M84" s="38">
        <f t="shared" si="31"/>
        <v>762</v>
      </c>
      <c r="N84" s="122"/>
      <c r="O84" s="123"/>
      <c r="P84" s="26">
        <f t="shared" si="32"/>
        <v>762</v>
      </c>
      <c r="Q84" s="117"/>
      <c r="R84" s="117"/>
      <c r="S84" s="38">
        <f t="shared" si="33"/>
        <v>762</v>
      </c>
      <c r="T84" s="106"/>
      <c r="U84" s="116"/>
      <c r="V84" s="20">
        <f t="shared" si="34"/>
        <v>762</v>
      </c>
      <c r="W84" s="143"/>
      <c r="X84" s="1"/>
      <c r="Y84" s="1"/>
    </row>
    <row r="85" spans="1:25" ht="15.75" customHeight="1">
      <c r="A85" s="114"/>
      <c r="B85" s="122"/>
      <c r="C85" s="123"/>
      <c r="D85" s="26">
        <f t="shared" si="28"/>
        <v>762</v>
      </c>
      <c r="E85" s="117"/>
      <c r="F85" s="117"/>
      <c r="G85" s="19">
        <f t="shared" si="29"/>
        <v>762</v>
      </c>
      <c r="H85" s="122"/>
      <c r="I85" s="123"/>
      <c r="J85" s="26">
        <f t="shared" si="30"/>
        <v>762</v>
      </c>
      <c r="K85" s="117"/>
      <c r="L85" s="117"/>
      <c r="M85" s="38">
        <f t="shared" si="31"/>
        <v>762</v>
      </c>
      <c r="N85" s="122"/>
      <c r="O85" s="123"/>
      <c r="P85" s="26">
        <f t="shared" si="32"/>
        <v>762</v>
      </c>
      <c r="Q85" s="117"/>
      <c r="R85" s="117"/>
      <c r="S85" s="38">
        <f t="shared" si="33"/>
        <v>762</v>
      </c>
      <c r="T85" s="122"/>
      <c r="U85" s="124"/>
      <c r="V85" s="20">
        <f t="shared" si="34"/>
        <v>762</v>
      </c>
      <c r="W85" s="143"/>
      <c r="X85" s="1"/>
      <c r="Y85" s="1"/>
    </row>
    <row r="86" spans="1:25" ht="15.75" customHeight="1">
      <c r="A86" s="114"/>
      <c r="B86" s="126"/>
      <c r="C86" s="127"/>
      <c r="D86" s="59">
        <f t="shared" si="28"/>
        <v>762</v>
      </c>
      <c r="E86" s="128"/>
      <c r="F86" s="128"/>
      <c r="G86" s="29">
        <f t="shared" si="29"/>
        <v>762</v>
      </c>
      <c r="H86" s="122"/>
      <c r="I86" s="123"/>
      <c r="J86" s="39">
        <f t="shared" si="30"/>
        <v>762</v>
      </c>
      <c r="K86" s="128"/>
      <c r="L86" s="128"/>
      <c r="M86" s="40">
        <f t="shared" si="31"/>
        <v>762</v>
      </c>
      <c r="N86" s="122"/>
      <c r="O86" s="123"/>
      <c r="P86" s="39">
        <f t="shared" si="32"/>
        <v>762</v>
      </c>
      <c r="Q86" s="128"/>
      <c r="R86" s="128"/>
      <c r="S86" s="40">
        <f t="shared" si="33"/>
        <v>762</v>
      </c>
      <c r="T86" s="122"/>
      <c r="U86" s="123"/>
      <c r="V86" s="49">
        <f t="shared" si="34"/>
        <v>762</v>
      </c>
      <c r="W86" s="143"/>
      <c r="X86" s="1"/>
      <c r="Y86" s="1"/>
    </row>
    <row r="87" spans="1:25" ht="15.75" customHeight="1">
      <c r="A87" s="87"/>
      <c r="B87" s="130" t="s">
        <v>99</v>
      </c>
      <c r="C87" s="81"/>
      <c r="D87" s="82"/>
      <c r="E87" s="130" t="s">
        <v>100</v>
      </c>
      <c r="F87" s="81"/>
      <c r="G87" s="82"/>
      <c r="H87" s="148" t="s">
        <v>101</v>
      </c>
      <c r="I87" s="81"/>
      <c r="J87" s="82"/>
      <c r="K87" s="130" t="s">
        <v>102</v>
      </c>
      <c r="L87" s="81"/>
      <c r="M87" s="82"/>
      <c r="N87" s="130" t="s">
        <v>103</v>
      </c>
      <c r="O87" s="81"/>
      <c r="P87" s="82"/>
      <c r="Q87" s="130" t="s">
        <v>104</v>
      </c>
      <c r="R87" s="81"/>
      <c r="S87" s="82"/>
      <c r="T87" s="130" t="s">
        <v>105</v>
      </c>
      <c r="U87" s="81"/>
      <c r="V87" s="82"/>
      <c r="W87" s="52" t="s">
        <v>20</v>
      </c>
      <c r="X87" s="1"/>
      <c r="Y87" s="1"/>
    </row>
    <row r="88" spans="1:25" ht="15.75" customHeight="1">
      <c r="A88" s="51" t="s">
        <v>106</v>
      </c>
      <c r="B88" s="38" t="s">
        <v>74</v>
      </c>
      <c r="C88" s="38">
        <v>-75</v>
      </c>
      <c r="D88" s="19">
        <f>V86+C88</f>
        <v>687</v>
      </c>
      <c r="E88" s="112"/>
      <c r="F88" s="111"/>
      <c r="G88" s="48">
        <f>D98+F88</f>
        <v>597</v>
      </c>
      <c r="H88" s="149"/>
      <c r="I88" s="150"/>
      <c r="J88" s="54">
        <f>G98+I88</f>
        <v>597</v>
      </c>
      <c r="K88" s="110"/>
      <c r="L88" s="111"/>
      <c r="M88" s="18">
        <f>J98+L88</f>
        <v>-128</v>
      </c>
      <c r="N88" s="113"/>
      <c r="O88" s="109"/>
      <c r="P88" s="35">
        <f>M98+O88</f>
        <v>-128</v>
      </c>
      <c r="Q88" s="112"/>
      <c r="R88" s="111"/>
      <c r="S88" s="18">
        <f>P98+R88</f>
        <v>-128</v>
      </c>
      <c r="T88" s="113"/>
      <c r="U88" s="109"/>
      <c r="V88" s="50">
        <f>S98+U88</f>
        <v>649</v>
      </c>
      <c r="W88" s="151">
        <v>25</v>
      </c>
      <c r="X88" s="1"/>
      <c r="Y88" s="1"/>
    </row>
    <row r="89" spans="1:25" ht="15.75" customHeight="1">
      <c r="A89" s="114"/>
      <c r="B89" s="38" t="s">
        <v>76</v>
      </c>
      <c r="C89" s="38">
        <v>-25</v>
      </c>
      <c r="D89" s="19">
        <f t="shared" ref="D89:D98" si="35">D88+C89</f>
        <v>662</v>
      </c>
      <c r="E89" s="116"/>
      <c r="F89" s="107"/>
      <c r="G89" s="20">
        <f t="shared" ref="G89:G98" si="36">G88+F89</f>
        <v>597</v>
      </c>
      <c r="H89" s="118"/>
      <c r="I89" s="117"/>
      <c r="J89" s="19">
        <f t="shared" ref="J89:J98" si="37">J88+I89</f>
        <v>597</v>
      </c>
      <c r="K89" s="116"/>
      <c r="L89" s="107"/>
      <c r="M89" s="26">
        <f t="shared" ref="M89:M98" si="38">M88+L89</f>
        <v>-128</v>
      </c>
      <c r="N89" s="118"/>
      <c r="O89" s="117"/>
      <c r="P89" s="38">
        <f t="shared" ref="P89:P98" si="39">P88+O89</f>
        <v>-128</v>
      </c>
      <c r="Q89" s="134" t="s">
        <v>53</v>
      </c>
      <c r="R89" s="135">
        <v>802</v>
      </c>
      <c r="S89" s="26">
        <f t="shared" ref="S89:S98" si="40">S88+R89</f>
        <v>674</v>
      </c>
      <c r="T89" s="136"/>
      <c r="U89" s="136"/>
      <c r="V89" s="45">
        <f t="shared" ref="V89:V98" si="41">V88+U89</f>
        <v>649</v>
      </c>
      <c r="W89" s="143"/>
      <c r="X89" s="1"/>
      <c r="Y89" s="1"/>
    </row>
    <row r="90" spans="1:25" ht="15.75" customHeight="1">
      <c r="A90" s="114"/>
      <c r="B90" s="38" t="s">
        <v>90</v>
      </c>
      <c r="C90" s="38">
        <v>-65</v>
      </c>
      <c r="D90" s="19">
        <f t="shared" si="35"/>
        <v>597</v>
      </c>
      <c r="E90" s="116"/>
      <c r="F90" s="107"/>
      <c r="G90" s="20">
        <f t="shared" si="36"/>
        <v>597</v>
      </c>
      <c r="H90" s="21" t="s">
        <v>30</v>
      </c>
      <c r="I90" s="22">
        <v>-725</v>
      </c>
      <c r="J90" s="19">
        <f t="shared" si="37"/>
        <v>-128</v>
      </c>
      <c r="K90" s="116"/>
      <c r="L90" s="107"/>
      <c r="M90" s="26">
        <f t="shared" si="38"/>
        <v>-128</v>
      </c>
      <c r="N90" s="117"/>
      <c r="O90" s="117"/>
      <c r="P90" s="38">
        <f t="shared" si="39"/>
        <v>-128</v>
      </c>
      <c r="Q90" s="134" t="s">
        <v>20</v>
      </c>
      <c r="R90" s="135">
        <v>-25</v>
      </c>
      <c r="S90" s="26">
        <f t="shared" si="40"/>
        <v>649</v>
      </c>
      <c r="T90" s="136"/>
      <c r="U90" s="136"/>
      <c r="V90" s="45">
        <f t="shared" si="41"/>
        <v>649</v>
      </c>
      <c r="W90" s="143"/>
      <c r="X90" s="1"/>
      <c r="Y90" s="1"/>
    </row>
    <row r="91" spans="1:25" ht="15.75" customHeight="1">
      <c r="A91" s="114"/>
      <c r="B91" s="117"/>
      <c r="C91" s="117"/>
      <c r="D91" s="19">
        <f t="shared" si="35"/>
        <v>597</v>
      </c>
      <c r="E91" s="116"/>
      <c r="F91" s="107"/>
      <c r="G91" s="20">
        <f t="shared" si="36"/>
        <v>597</v>
      </c>
      <c r="H91" s="118"/>
      <c r="I91" s="117"/>
      <c r="J91" s="19">
        <f t="shared" si="37"/>
        <v>-128</v>
      </c>
      <c r="K91" s="116"/>
      <c r="L91" s="107"/>
      <c r="M91" s="26">
        <f t="shared" si="38"/>
        <v>-128</v>
      </c>
      <c r="N91" s="117"/>
      <c r="O91" s="117"/>
      <c r="P91" s="38">
        <f t="shared" si="39"/>
        <v>-128</v>
      </c>
      <c r="Q91" s="106"/>
      <c r="R91" s="107"/>
      <c r="S91" s="26">
        <f t="shared" si="40"/>
        <v>649</v>
      </c>
      <c r="T91" s="136"/>
      <c r="U91" s="136"/>
      <c r="V91" s="45">
        <f t="shared" si="41"/>
        <v>649</v>
      </c>
      <c r="W91" s="143"/>
      <c r="X91" s="1"/>
      <c r="Y91" s="1"/>
    </row>
    <row r="92" spans="1:25" ht="15.75" customHeight="1">
      <c r="A92" s="114"/>
      <c r="B92" s="117"/>
      <c r="C92" s="117"/>
      <c r="D92" s="19">
        <f t="shared" si="35"/>
        <v>597</v>
      </c>
      <c r="E92" s="116"/>
      <c r="F92" s="107"/>
      <c r="G92" s="20">
        <f t="shared" si="36"/>
        <v>597</v>
      </c>
      <c r="H92" s="152" t="s">
        <v>107</v>
      </c>
      <c r="I92" s="117"/>
      <c r="J92" s="19">
        <f t="shared" si="37"/>
        <v>-128</v>
      </c>
      <c r="K92" s="116"/>
      <c r="L92" s="107"/>
      <c r="M92" s="26">
        <f t="shared" si="38"/>
        <v>-128</v>
      </c>
      <c r="N92" s="117"/>
      <c r="O92" s="117"/>
      <c r="P92" s="38">
        <f t="shared" si="39"/>
        <v>-128</v>
      </c>
      <c r="Q92" s="106"/>
      <c r="R92" s="107"/>
      <c r="S92" s="26">
        <f t="shared" si="40"/>
        <v>649</v>
      </c>
      <c r="T92" s="136"/>
      <c r="U92" s="136"/>
      <c r="V92" s="45">
        <f t="shared" si="41"/>
        <v>649</v>
      </c>
      <c r="W92" s="143"/>
      <c r="X92" s="1"/>
      <c r="Y92" s="1"/>
    </row>
    <row r="93" spans="1:25" ht="15.75" customHeight="1">
      <c r="A93" s="114"/>
      <c r="B93" s="117"/>
      <c r="C93" s="117"/>
      <c r="D93" s="19">
        <f t="shared" si="35"/>
        <v>597</v>
      </c>
      <c r="E93" s="116"/>
      <c r="F93" s="107"/>
      <c r="G93" s="20">
        <f t="shared" si="36"/>
        <v>597</v>
      </c>
      <c r="H93" s="153"/>
      <c r="I93" s="117"/>
      <c r="J93" s="19">
        <f t="shared" si="37"/>
        <v>-128</v>
      </c>
      <c r="K93" s="116"/>
      <c r="L93" s="107"/>
      <c r="M93" s="26">
        <f t="shared" si="38"/>
        <v>-128</v>
      </c>
      <c r="N93" s="117"/>
      <c r="O93" s="117"/>
      <c r="P93" s="38">
        <f t="shared" si="39"/>
        <v>-128</v>
      </c>
      <c r="Q93" s="106"/>
      <c r="R93" s="107"/>
      <c r="S93" s="26">
        <f t="shared" si="40"/>
        <v>649</v>
      </c>
      <c r="T93" s="136"/>
      <c r="U93" s="136"/>
      <c r="V93" s="45">
        <f t="shared" si="41"/>
        <v>649</v>
      </c>
      <c r="W93" s="143"/>
      <c r="X93" s="1"/>
      <c r="Y93" s="1"/>
    </row>
    <row r="94" spans="1:25" ht="15.75" customHeight="1">
      <c r="A94" s="114"/>
      <c r="B94" s="117"/>
      <c r="C94" s="117"/>
      <c r="D94" s="19">
        <f t="shared" si="35"/>
        <v>597</v>
      </c>
      <c r="E94" s="106"/>
      <c r="F94" s="107"/>
      <c r="G94" s="20">
        <f t="shared" si="36"/>
        <v>597</v>
      </c>
      <c r="H94" s="152" t="s">
        <v>108</v>
      </c>
      <c r="I94" s="117"/>
      <c r="J94" s="19">
        <f t="shared" si="37"/>
        <v>-128</v>
      </c>
      <c r="K94" s="116"/>
      <c r="L94" s="107"/>
      <c r="M94" s="26">
        <f t="shared" si="38"/>
        <v>-128</v>
      </c>
      <c r="N94" s="117"/>
      <c r="O94" s="117"/>
      <c r="P94" s="38">
        <f t="shared" si="39"/>
        <v>-128</v>
      </c>
      <c r="Q94" s="106"/>
      <c r="R94" s="107"/>
      <c r="S94" s="26">
        <f t="shared" si="40"/>
        <v>649</v>
      </c>
      <c r="T94" s="136"/>
      <c r="U94" s="136"/>
      <c r="V94" s="45">
        <f t="shared" si="41"/>
        <v>649</v>
      </c>
      <c r="W94" s="143"/>
      <c r="X94" s="1"/>
      <c r="Y94" s="1"/>
    </row>
    <row r="95" spans="1:25" ht="15.75" customHeight="1">
      <c r="A95" s="114"/>
      <c r="B95" s="117"/>
      <c r="C95" s="117"/>
      <c r="D95" s="19">
        <f t="shared" si="35"/>
        <v>597</v>
      </c>
      <c r="E95" s="106"/>
      <c r="F95" s="107"/>
      <c r="G95" s="20">
        <f t="shared" si="36"/>
        <v>597</v>
      </c>
      <c r="H95" s="152" t="s">
        <v>109</v>
      </c>
      <c r="I95" s="117"/>
      <c r="J95" s="19">
        <f t="shared" si="37"/>
        <v>-128</v>
      </c>
      <c r="K95" s="116"/>
      <c r="L95" s="107"/>
      <c r="M95" s="26">
        <f t="shared" si="38"/>
        <v>-128</v>
      </c>
      <c r="N95" s="117"/>
      <c r="O95" s="117"/>
      <c r="P95" s="38">
        <f t="shared" si="39"/>
        <v>-128</v>
      </c>
      <c r="Q95" s="106"/>
      <c r="R95" s="107"/>
      <c r="S95" s="26">
        <f t="shared" si="40"/>
        <v>649</v>
      </c>
      <c r="T95" s="136"/>
      <c r="U95" s="136"/>
      <c r="V95" s="45">
        <f t="shared" si="41"/>
        <v>649</v>
      </c>
      <c r="W95" s="143"/>
      <c r="X95" s="1"/>
      <c r="Y95" s="1"/>
    </row>
    <row r="96" spans="1:25" ht="15.75" customHeight="1">
      <c r="A96" s="114"/>
      <c r="B96" s="117"/>
      <c r="C96" s="117"/>
      <c r="D96" s="19">
        <f t="shared" si="35"/>
        <v>597</v>
      </c>
      <c r="E96" s="106"/>
      <c r="F96" s="107"/>
      <c r="G96" s="20">
        <f t="shared" si="36"/>
        <v>597</v>
      </c>
      <c r="H96" s="153"/>
      <c r="I96" s="117"/>
      <c r="J96" s="19">
        <f t="shared" si="37"/>
        <v>-128</v>
      </c>
      <c r="K96" s="116"/>
      <c r="L96" s="107"/>
      <c r="M96" s="26">
        <f t="shared" si="38"/>
        <v>-128</v>
      </c>
      <c r="N96" s="117"/>
      <c r="O96" s="117"/>
      <c r="P96" s="38">
        <f t="shared" si="39"/>
        <v>-128</v>
      </c>
      <c r="Q96" s="106"/>
      <c r="R96" s="107"/>
      <c r="S96" s="26">
        <f t="shared" si="40"/>
        <v>649</v>
      </c>
      <c r="T96" s="136"/>
      <c r="U96" s="136"/>
      <c r="V96" s="45">
        <f t="shared" si="41"/>
        <v>649</v>
      </c>
      <c r="W96" s="143"/>
      <c r="X96" s="1"/>
      <c r="Y96" s="1"/>
    </row>
    <row r="97" spans="1:25" ht="15.75" customHeight="1">
      <c r="A97" s="114"/>
      <c r="B97" s="117"/>
      <c r="C97" s="117"/>
      <c r="D97" s="19">
        <f t="shared" si="35"/>
        <v>597</v>
      </c>
      <c r="E97" s="122"/>
      <c r="F97" s="123"/>
      <c r="G97" s="20">
        <f t="shared" si="36"/>
        <v>597</v>
      </c>
      <c r="H97" s="152" t="s">
        <v>110</v>
      </c>
      <c r="I97" s="117"/>
      <c r="J97" s="19">
        <f t="shared" si="37"/>
        <v>-128</v>
      </c>
      <c r="K97" s="124"/>
      <c r="L97" s="123"/>
      <c r="M97" s="26">
        <f t="shared" si="38"/>
        <v>-128</v>
      </c>
      <c r="N97" s="117"/>
      <c r="O97" s="117"/>
      <c r="P97" s="38">
        <f t="shared" si="39"/>
        <v>-128</v>
      </c>
      <c r="Q97" s="122"/>
      <c r="R97" s="123"/>
      <c r="S97" s="26">
        <f t="shared" si="40"/>
        <v>649</v>
      </c>
      <c r="T97" s="136"/>
      <c r="U97" s="136"/>
      <c r="V97" s="45">
        <f t="shared" si="41"/>
        <v>649</v>
      </c>
      <c r="W97" s="143"/>
      <c r="X97" s="1"/>
      <c r="Y97" s="1"/>
    </row>
    <row r="98" spans="1:25" ht="15.75" customHeight="1">
      <c r="A98" s="114"/>
      <c r="B98" s="128"/>
      <c r="C98" s="128"/>
      <c r="D98" s="29">
        <f t="shared" si="35"/>
        <v>597</v>
      </c>
      <c r="E98" s="122"/>
      <c r="F98" s="123"/>
      <c r="G98" s="49">
        <f t="shared" si="36"/>
        <v>597</v>
      </c>
      <c r="H98" s="154"/>
      <c r="I98" s="128"/>
      <c r="J98" s="29">
        <f t="shared" si="37"/>
        <v>-128</v>
      </c>
      <c r="K98" s="124"/>
      <c r="L98" s="123"/>
      <c r="M98" s="39">
        <f t="shared" si="38"/>
        <v>-128</v>
      </c>
      <c r="N98" s="128"/>
      <c r="O98" s="128"/>
      <c r="P98" s="40">
        <f t="shared" si="39"/>
        <v>-128</v>
      </c>
      <c r="Q98" s="122"/>
      <c r="R98" s="123"/>
      <c r="S98" s="39">
        <f t="shared" si="40"/>
        <v>649</v>
      </c>
      <c r="T98" s="141"/>
      <c r="U98" s="141"/>
      <c r="V98" s="46">
        <f t="shared" si="41"/>
        <v>649</v>
      </c>
      <c r="W98" s="143"/>
      <c r="X98" s="1"/>
      <c r="Y98" s="1"/>
    </row>
    <row r="99" spans="1:25" ht="15.75" customHeight="1">
      <c r="A99" s="87"/>
      <c r="B99" s="130" t="s">
        <v>111</v>
      </c>
      <c r="C99" s="81"/>
      <c r="D99" s="82"/>
      <c r="E99" s="130" t="s">
        <v>112</v>
      </c>
      <c r="F99" s="81"/>
      <c r="G99" s="82"/>
      <c r="H99" s="130" t="s">
        <v>113</v>
      </c>
      <c r="I99" s="81"/>
      <c r="J99" s="82"/>
      <c r="K99" s="130" t="s">
        <v>114</v>
      </c>
      <c r="L99" s="81"/>
      <c r="M99" s="82"/>
      <c r="N99" s="130" t="s">
        <v>115</v>
      </c>
      <c r="O99" s="81"/>
      <c r="P99" s="82"/>
      <c r="Q99" s="130" t="s">
        <v>116</v>
      </c>
      <c r="R99" s="81"/>
      <c r="S99" s="82"/>
      <c r="T99" s="130" t="s">
        <v>117</v>
      </c>
      <c r="U99" s="81"/>
      <c r="V99" s="82"/>
      <c r="W99" s="95"/>
      <c r="X99" s="1"/>
      <c r="Y99" s="1"/>
    </row>
    <row r="100" spans="1:25" ht="15.75" customHeight="1">
      <c r="A100" s="51" t="s">
        <v>118</v>
      </c>
      <c r="B100" s="37" t="s">
        <v>74</v>
      </c>
      <c r="C100" s="23">
        <v>-75</v>
      </c>
      <c r="D100" s="17">
        <f>V98+C100</f>
        <v>574</v>
      </c>
      <c r="E100" s="109"/>
      <c r="F100" s="109"/>
      <c r="G100" s="42">
        <f>D110+F100</f>
        <v>484</v>
      </c>
      <c r="H100" s="112"/>
      <c r="I100" s="111"/>
      <c r="J100" s="17">
        <f>G110+I100</f>
        <v>484</v>
      </c>
      <c r="K100" s="109"/>
      <c r="L100" s="109"/>
      <c r="M100" s="35">
        <f>J110+L100</f>
        <v>484</v>
      </c>
      <c r="N100" s="112"/>
      <c r="O100" s="111"/>
      <c r="P100" s="17">
        <f>M110+O100</f>
        <v>484</v>
      </c>
      <c r="Q100" s="109"/>
      <c r="R100" s="109"/>
      <c r="S100" s="35">
        <f>P110+R100</f>
        <v>309</v>
      </c>
      <c r="T100" s="112"/>
      <c r="U100" s="111"/>
      <c r="V100" s="17">
        <f>S110+U100</f>
        <v>144</v>
      </c>
      <c r="W100" s="95"/>
      <c r="X100" s="1"/>
      <c r="Y100" s="1"/>
    </row>
    <row r="101" spans="1:25" ht="15.75" customHeight="1">
      <c r="A101" s="114"/>
      <c r="B101" s="37" t="s">
        <v>76</v>
      </c>
      <c r="C101" s="23">
        <v>-25</v>
      </c>
      <c r="D101" s="26">
        <f t="shared" ref="D101:D110" si="42">D100+C101</f>
        <v>549</v>
      </c>
      <c r="E101" s="117"/>
      <c r="F101" s="117"/>
      <c r="G101" s="19">
        <f t="shared" ref="G101:G110" si="43">G100+F101</f>
        <v>484</v>
      </c>
      <c r="H101" s="106"/>
      <c r="I101" s="107"/>
      <c r="J101" s="26">
        <f t="shared" ref="J101:J110" si="44">J100+I101</f>
        <v>484</v>
      </c>
      <c r="K101" s="117"/>
      <c r="L101" s="117"/>
      <c r="M101" s="155">
        <f t="shared" ref="M101:M110" si="45">M100+L101</f>
        <v>484</v>
      </c>
      <c r="N101" s="21" t="s">
        <v>73</v>
      </c>
      <c r="O101" s="144"/>
      <c r="P101" s="26">
        <f t="shared" ref="P101:P110" si="46">P100+O101</f>
        <v>484</v>
      </c>
      <c r="Q101" s="117"/>
      <c r="R101" s="117"/>
      <c r="S101" s="38">
        <f t="shared" ref="S101:S110" si="47">S100+R101</f>
        <v>309</v>
      </c>
      <c r="T101" s="106"/>
      <c r="U101" s="107"/>
      <c r="V101" s="26">
        <f t="shared" ref="V101:V110" si="48">V100+U101</f>
        <v>144</v>
      </c>
      <c r="W101" s="95"/>
      <c r="X101" s="1"/>
      <c r="Y101" s="1"/>
    </row>
    <row r="102" spans="1:25" ht="15.75" customHeight="1">
      <c r="A102" s="114"/>
      <c r="B102" s="37" t="s">
        <v>79</v>
      </c>
      <c r="C102" s="23">
        <v>-65</v>
      </c>
      <c r="D102" s="26">
        <f t="shared" si="42"/>
        <v>484</v>
      </c>
      <c r="E102" s="117"/>
      <c r="F102" s="117"/>
      <c r="G102" s="19">
        <f t="shared" si="43"/>
        <v>484</v>
      </c>
      <c r="H102" s="106"/>
      <c r="I102" s="107"/>
      <c r="J102" s="26">
        <f t="shared" si="44"/>
        <v>484</v>
      </c>
      <c r="K102" s="117"/>
      <c r="L102" s="117"/>
      <c r="M102" s="155">
        <f t="shared" si="45"/>
        <v>484</v>
      </c>
      <c r="N102" s="156" t="s">
        <v>75</v>
      </c>
      <c r="O102" s="145">
        <v>-25</v>
      </c>
      <c r="P102" s="26">
        <f t="shared" si="46"/>
        <v>459</v>
      </c>
      <c r="Q102" s="117"/>
      <c r="R102" s="117"/>
      <c r="S102" s="38">
        <f t="shared" si="47"/>
        <v>309</v>
      </c>
      <c r="T102" s="106"/>
      <c r="U102" s="116"/>
      <c r="V102" s="26">
        <f t="shared" si="48"/>
        <v>144</v>
      </c>
      <c r="W102" s="95"/>
      <c r="X102" s="1"/>
      <c r="Y102" s="1"/>
    </row>
    <row r="103" spans="1:25" ht="15.75" customHeight="1">
      <c r="A103" s="114"/>
      <c r="B103" s="106"/>
      <c r="C103" s="107"/>
      <c r="D103" s="26">
        <f t="shared" si="42"/>
        <v>484</v>
      </c>
      <c r="E103" s="117"/>
      <c r="F103" s="117"/>
      <c r="G103" s="19">
        <f t="shared" si="43"/>
        <v>484</v>
      </c>
      <c r="H103" s="106"/>
      <c r="I103" s="107"/>
      <c r="J103" s="26">
        <f t="shared" si="44"/>
        <v>484</v>
      </c>
      <c r="K103" s="117"/>
      <c r="L103" s="117"/>
      <c r="M103" s="155">
        <f t="shared" si="45"/>
        <v>484</v>
      </c>
      <c r="N103" s="156" t="s">
        <v>77</v>
      </c>
      <c r="O103" s="145">
        <v>-50</v>
      </c>
      <c r="P103" s="26">
        <f t="shared" si="46"/>
        <v>409</v>
      </c>
      <c r="Q103" s="146" t="s">
        <v>78</v>
      </c>
      <c r="R103" s="147">
        <v>-165</v>
      </c>
      <c r="S103" s="38">
        <f t="shared" si="47"/>
        <v>144</v>
      </c>
      <c r="T103" s="106"/>
      <c r="U103" s="116"/>
      <c r="V103" s="26">
        <f t="shared" si="48"/>
        <v>144</v>
      </c>
      <c r="W103" s="95"/>
      <c r="X103" s="1"/>
      <c r="Y103" s="1"/>
    </row>
    <row r="104" spans="1:25" ht="15.75" customHeight="1">
      <c r="A104" s="114"/>
      <c r="B104" s="106"/>
      <c r="C104" s="107"/>
      <c r="D104" s="26">
        <f t="shared" si="42"/>
        <v>484</v>
      </c>
      <c r="E104" s="117"/>
      <c r="F104" s="117"/>
      <c r="G104" s="19">
        <f t="shared" si="43"/>
        <v>484</v>
      </c>
      <c r="H104" s="106"/>
      <c r="I104" s="107"/>
      <c r="J104" s="26">
        <f t="shared" si="44"/>
        <v>484</v>
      </c>
      <c r="K104" s="117"/>
      <c r="L104" s="117"/>
      <c r="M104" s="155">
        <f t="shared" si="45"/>
        <v>484</v>
      </c>
      <c r="N104" s="156" t="s">
        <v>80</v>
      </c>
      <c r="O104" s="145">
        <v>-50</v>
      </c>
      <c r="P104" s="26">
        <f t="shared" si="46"/>
        <v>359</v>
      </c>
      <c r="Q104" s="117"/>
      <c r="R104" s="117"/>
      <c r="S104" s="38">
        <f t="shared" si="47"/>
        <v>144</v>
      </c>
      <c r="T104" s="106"/>
      <c r="U104" s="116"/>
      <c r="V104" s="26">
        <f t="shared" si="48"/>
        <v>144</v>
      </c>
      <c r="W104" s="95"/>
      <c r="X104" s="1"/>
      <c r="Y104" s="1"/>
    </row>
    <row r="105" spans="1:25" ht="15.75" customHeight="1">
      <c r="A105" s="114"/>
      <c r="B105" s="106"/>
      <c r="C105" s="107"/>
      <c r="D105" s="26">
        <f t="shared" si="42"/>
        <v>484</v>
      </c>
      <c r="E105" s="117"/>
      <c r="F105" s="117"/>
      <c r="G105" s="19">
        <f t="shared" si="43"/>
        <v>484</v>
      </c>
      <c r="H105" s="106"/>
      <c r="I105" s="107"/>
      <c r="J105" s="26">
        <f t="shared" si="44"/>
        <v>484</v>
      </c>
      <c r="K105" s="117"/>
      <c r="L105" s="117"/>
      <c r="M105" s="155">
        <f t="shared" si="45"/>
        <v>484</v>
      </c>
      <c r="N105" s="156" t="s">
        <v>79</v>
      </c>
      <c r="O105" s="145">
        <v>-25</v>
      </c>
      <c r="P105" s="26">
        <f t="shared" si="46"/>
        <v>334</v>
      </c>
      <c r="Q105" s="117"/>
      <c r="R105" s="117"/>
      <c r="S105" s="38">
        <f t="shared" si="47"/>
        <v>144</v>
      </c>
      <c r="T105" s="106"/>
      <c r="U105" s="116"/>
      <c r="V105" s="26">
        <f t="shared" si="48"/>
        <v>144</v>
      </c>
      <c r="W105" s="95"/>
      <c r="X105" s="1"/>
      <c r="Y105" s="1"/>
    </row>
    <row r="106" spans="1:25" ht="15.75" customHeight="1">
      <c r="A106" s="114"/>
      <c r="B106" s="106"/>
      <c r="C106" s="107"/>
      <c r="D106" s="26">
        <f t="shared" si="42"/>
        <v>484</v>
      </c>
      <c r="E106" s="117"/>
      <c r="F106" s="117"/>
      <c r="G106" s="19">
        <f t="shared" si="43"/>
        <v>484</v>
      </c>
      <c r="H106" s="106"/>
      <c r="I106" s="107"/>
      <c r="J106" s="26">
        <f t="shared" si="44"/>
        <v>484</v>
      </c>
      <c r="K106" s="117"/>
      <c r="L106" s="117"/>
      <c r="M106" s="155">
        <f t="shared" si="45"/>
        <v>484</v>
      </c>
      <c r="N106" s="156" t="s">
        <v>81</v>
      </c>
      <c r="O106" s="145">
        <v>-25</v>
      </c>
      <c r="P106" s="26">
        <f t="shared" si="46"/>
        <v>309</v>
      </c>
      <c r="Q106" s="117"/>
      <c r="R106" s="117"/>
      <c r="S106" s="38">
        <f t="shared" si="47"/>
        <v>144</v>
      </c>
      <c r="T106" s="106"/>
      <c r="U106" s="116"/>
      <c r="V106" s="26">
        <f t="shared" si="48"/>
        <v>144</v>
      </c>
      <c r="W106" s="95"/>
      <c r="X106" s="1"/>
      <c r="Y106" s="1"/>
    </row>
    <row r="107" spans="1:25" ht="15.75" customHeight="1">
      <c r="A107" s="114"/>
      <c r="B107" s="106"/>
      <c r="C107" s="107"/>
      <c r="D107" s="26">
        <f t="shared" si="42"/>
        <v>484</v>
      </c>
      <c r="E107" s="117"/>
      <c r="F107" s="117"/>
      <c r="G107" s="19">
        <f t="shared" si="43"/>
        <v>484</v>
      </c>
      <c r="H107" s="106"/>
      <c r="I107" s="107"/>
      <c r="J107" s="26">
        <f t="shared" si="44"/>
        <v>484</v>
      </c>
      <c r="K107" s="117"/>
      <c r="L107" s="117"/>
      <c r="M107" s="155">
        <f t="shared" si="45"/>
        <v>484</v>
      </c>
      <c r="N107" s="122"/>
      <c r="O107" s="123"/>
      <c r="P107" s="26">
        <f t="shared" si="46"/>
        <v>309</v>
      </c>
      <c r="Q107" s="117"/>
      <c r="R107" s="117"/>
      <c r="S107" s="38">
        <f t="shared" si="47"/>
        <v>144</v>
      </c>
      <c r="T107" s="106"/>
      <c r="U107" s="116"/>
      <c r="V107" s="26">
        <f t="shared" si="48"/>
        <v>144</v>
      </c>
      <c r="W107" s="95"/>
      <c r="X107" s="1"/>
      <c r="Y107" s="1"/>
    </row>
    <row r="108" spans="1:25" ht="15.75" customHeight="1">
      <c r="A108" s="114"/>
      <c r="B108" s="122"/>
      <c r="C108" s="123"/>
      <c r="D108" s="26">
        <f t="shared" si="42"/>
        <v>484</v>
      </c>
      <c r="E108" s="117"/>
      <c r="F108" s="117"/>
      <c r="G108" s="19">
        <f t="shared" si="43"/>
        <v>484</v>
      </c>
      <c r="H108" s="122"/>
      <c r="I108" s="123"/>
      <c r="J108" s="26">
        <f t="shared" si="44"/>
        <v>484</v>
      </c>
      <c r="K108" s="117"/>
      <c r="L108" s="117"/>
      <c r="M108" s="38">
        <f t="shared" si="45"/>
        <v>484</v>
      </c>
      <c r="N108" s="122"/>
      <c r="O108" s="123"/>
      <c r="P108" s="26">
        <f t="shared" si="46"/>
        <v>309</v>
      </c>
      <c r="Q108" s="117"/>
      <c r="R108" s="117"/>
      <c r="S108" s="38">
        <f t="shared" si="47"/>
        <v>144</v>
      </c>
      <c r="T108" s="106"/>
      <c r="U108" s="116"/>
      <c r="V108" s="26">
        <f t="shared" si="48"/>
        <v>144</v>
      </c>
      <c r="W108" s="95"/>
      <c r="X108" s="1"/>
      <c r="Y108" s="1"/>
    </row>
    <row r="109" spans="1:25" ht="15.75" customHeight="1">
      <c r="A109" s="114"/>
      <c r="B109" s="122"/>
      <c r="C109" s="123"/>
      <c r="D109" s="26">
        <f t="shared" si="42"/>
        <v>484</v>
      </c>
      <c r="E109" s="117"/>
      <c r="F109" s="117"/>
      <c r="G109" s="19">
        <f t="shared" si="43"/>
        <v>484</v>
      </c>
      <c r="H109" s="122"/>
      <c r="I109" s="123"/>
      <c r="J109" s="26">
        <f t="shared" si="44"/>
        <v>484</v>
      </c>
      <c r="K109" s="117"/>
      <c r="L109" s="117"/>
      <c r="M109" s="38">
        <f t="shared" si="45"/>
        <v>484</v>
      </c>
      <c r="N109" s="122"/>
      <c r="O109" s="123"/>
      <c r="P109" s="26">
        <f t="shared" si="46"/>
        <v>309</v>
      </c>
      <c r="Q109" s="117"/>
      <c r="R109" s="117"/>
      <c r="S109" s="38">
        <f t="shared" si="47"/>
        <v>144</v>
      </c>
      <c r="T109" s="122"/>
      <c r="U109" s="124"/>
      <c r="V109" s="26">
        <f t="shared" si="48"/>
        <v>144</v>
      </c>
      <c r="W109" s="95"/>
      <c r="X109" s="1"/>
      <c r="Y109" s="1"/>
    </row>
    <row r="110" spans="1:25" ht="15.75" customHeight="1">
      <c r="A110" s="114"/>
      <c r="B110" s="126"/>
      <c r="C110" s="127"/>
      <c r="D110" s="59">
        <f t="shared" si="42"/>
        <v>484</v>
      </c>
      <c r="E110" s="157"/>
      <c r="F110" s="157"/>
      <c r="G110" s="60">
        <f t="shared" si="43"/>
        <v>484</v>
      </c>
      <c r="H110" s="122"/>
      <c r="I110" s="123"/>
      <c r="J110" s="39">
        <f t="shared" si="44"/>
        <v>484</v>
      </c>
      <c r="K110" s="128"/>
      <c r="L110" s="128"/>
      <c r="M110" s="40">
        <f t="shared" si="45"/>
        <v>484</v>
      </c>
      <c r="N110" s="122"/>
      <c r="O110" s="123"/>
      <c r="P110" s="39">
        <f t="shared" si="46"/>
        <v>309</v>
      </c>
      <c r="Q110" s="128"/>
      <c r="R110" s="128"/>
      <c r="S110" s="40">
        <f t="shared" si="47"/>
        <v>144</v>
      </c>
      <c r="T110" s="122"/>
      <c r="U110" s="123"/>
      <c r="V110" s="39">
        <f t="shared" si="48"/>
        <v>144</v>
      </c>
      <c r="W110" s="95"/>
      <c r="X110" s="1"/>
      <c r="Y110" s="1"/>
    </row>
    <row r="111" spans="1:25" ht="61.5" customHeight="1">
      <c r="A111" s="87"/>
      <c r="B111" s="87"/>
      <c r="C111" s="87"/>
      <c r="D111" s="87"/>
      <c r="E111" s="158" t="s">
        <v>119</v>
      </c>
      <c r="F111" s="159"/>
      <c r="G111" s="159"/>
      <c r="H111" s="159"/>
      <c r="I111" s="159"/>
      <c r="J111" s="159"/>
      <c r="K111" s="159"/>
      <c r="L111" s="159"/>
      <c r="M111" s="159"/>
      <c r="N111" s="159"/>
      <c r="O111" s="159"/>
      <c r="P111" s="159"/>
      <c r="Q111" s="159"/>
      <c r="R111" s="159"/>
      <c r="S111" s="160"/>
      <c r="T111" s="87"/>
      <c r="U111" s="87"/>
      <c r="V111" s="87"/>
      <c r="W111" s="87"/>
      <c r="X111" s="1"/>
      <c r="Y111" s="1"/>
    </row>
    <row r="112" spans="1:25" ht="15.75" customHeight="1">
      <c r="A112" s="2"/>
    </row>
    <row r="113" spans="1:9" ht="15.75" customHeight="1">
      <c r="A113" s="2"/>
    </row>
    <row r="114" spans="1:9" ht="15.75" customHeight="1">
      <c r="A114" s="2"/>
    </row>
    <row r="115" spans="1:9" ht="15.75" customHeight="1">
      <c r="A115" s="2"/>
    </row>
    <row r="116" spans="1:9" ht="15.75" customHeight="1">
      <c r="A116" s="2"/>
    </row>
    <row r="117" spans="1:9" ht="15.75" customHeight="1">
      <c r="A117" s="2"/>
    </row>
    <row r="118" spans="1:9" ht="15.75" customHeight="1">
      <c r="A118" s="2"/>
    </row>
    <row r="119" spans="1:9" ht="15.75" customHeight="1">
      <c r="A119" s="2"/>
      <c r="I119" s="3" t="s">
        <v>120</v>
      </c>
    </row>
    <row r="120" spans="1:9" ht="15.75" customHeight="1">
      <c r="A120" s="2"/>
    </row>
    <row r="121" spans="1:9" ht="15.75" customHeight="1">
      <c r="A121" s="2"/>
    </row>
    <row r="122" spans="1:9" ht="15.75" customHeight="1">
      <c r="A122" s="2"/>
    </row>
    <row r="123" spans="1:9" ht="15.75" customHeight="1">
      <c r="A123" s="2"/>
    </row>
    <row r="124" spans="1:9" ht="15.75" customHeight="1">
      <c r="A124" s="2"/>
    </row>
    <row r="125" spans="1:9" ht="15.75" customHeight="1">
      <c r="A125" s="2"/>
    </row>
    <row r="126" spans="1:9" ht="15.75" customHeight="1">
      <c r="A126" s="2"/>
    </row>
    <row r="127" spans="1:9" ht="15.75" customHeight="1">
      <c r="A127" s="2"/>
    </row>
    <row r="128" spans="1:9" ht="15.75" customHeight="1">
      <c r="A128" s="2"/>
    </row>
    <row r="129" spans="1:1" ht="15.75" customHeight="1">
      <c r="A129" s="2"/>
    </row>
    <row r="130" spans="1:1" ht="15.75" customHeight="1">
      <c r="A130" s="2"/>
    </row>
    <row r="131" spans="1:1" ht="15.75" customHeight="1">
      <c r="A131" s="2"/>
    </row>
    <row r="132" spans="1:1" ht="15.75" customHeight="1">
      <c r="A132" s="2"/>
    </row>
    <row r="133" spans="1:1" ht="15.75" customHeight="1">
      <c r="A133" s="2"/>
    </row>
    <row r="134" spans="1:1" ht="15.75" customHeight="1">
      <c r="A134" s="2"/>
    </row>
    <row r="135" spans="1:1" ht="15.75" customHeight="1">
      <c r="A135" s="2"/>
    </row>
    <row r="136" spans="1:1" ht="15.75" customHeight="1">
      <c r="A136" s="2"/>
    </row>
    <row r="137" spans="1:1" ht="15.75" customHeight="1">
      <c r="A137" s="2"/>
    </row>
    <row r="138" spans="1:1" ht="15.75" customHeight="1">
      <c r="A138" s="2"/>
    </row>
    <row r="139" spans="1:1" ht="15.75" customHeight="1">
      <c r="A139" s="2"/>
    </row>
    <row r="140" spans="1:1" ht="15.75" customHeight="1">
      <c r="A140" s="2"/>
    </row>
    <row r="141" spans="1:1" ht="15.75" customHeight="1">
      <c r="A141" s="2"/>
    </row>
    <row r="142" spans="1:1" ht="15.75" customHeight="1">
      <c r="A142" s="2"/>
    </row>
    <row r="143" spans="1:1" ht="15.75" customHeight="1">
      <c r="A143" s="2"/>
    </row>
    <row r="144" spans="1:1" ht="15.75" customHeight="1">
      <c r="A144" s="2"/>
    </row>
    <row r="145" spans="1:1" ht="15.75" customHeight="1">
      <c r="A145" s="2"/>
    </row>
    <row r="146" spans="1:1" ht="15.75" customHeight="1">
      <c r="A146" s="2"/>
    </row>
    <row r="147" spans="1:1" ht="15.75" customHeight="1">
      <c r="A147" s="2"/>
    </row>
    <row r="148" spans="1:1" ht="15.75" customHeight="1">
      <c r="A148" s="2"/>
    </row>
    <row r="149" spans="1:1" ht="15.75" customHeight="1">
      <c r="A149" s="2"/>
    </row>
    <row r="150" spans="1:1" ht="15.75" customHeight="1">
      <c r="A150" s="2"/>
    </row>
    <row r="151" spans="1:1" ht="15.75" customHeight="1">
      <c r="A151" s="2"/>
    </row>
    <row r="152" spans="1:1" ht="15.75" customHeight="1">
      <c r="A152" s="2"/>
    </row>
    <row r="153" spans="1:1" ht="15.75" customHeight="1">
      <c r="A153" s="2"/>
    </row>
    <row r="154" spans="1:1" ht="15.75" customHeight="1">
      <c r="A154" s="2"/>
    </row>
    <row r="155" spans="1:1" ht="15.75" customHeight="1">
      <c r="A155" s="2"/>
    </row>
    <row r="156" spans="1:1" ht="15.75" customHeight="1">
      <c r="A156" s="2"/>
    </row>
    <row r="157" spans="1:1" ht="15.75" customHeight="1">
      <c r="A157" s="2"/>
    </row>
    <row r="158" spans="1:1" ht="15.75" customHeight="1">
      <c r="A158" s="2"/>
    </row>
    <row r="159" spans="1:1" ht="15.75" customHeight="1">
      <c r="A159" s="2"/>
    </row>
    <row r="160" spans="1:1" ht="15.75" customHeight="1">
      <c r="A160" s="2"/>
    </row>
    <row r="161" spans="1:1" ht="15.75" customHeight="1">
      <c r="A161" s="2"/>
    </row>
    <row r="162" spans="1:1" ht="15.75" customHeight="1">
      <c r="A162" s="2"/>
    </row>
    <row r="163" spans="1:1" ht="15.75" customHeight="1">
      <c r="A163" s="2"/>
    </row>
    <row r="164" spans="1:1" ht="15.75" customHeight="1">
      <c r="A164" s="2"/>
    </row>
    <row r="165" spans="1:1" ht="15.75" customHeight="1">
      <c r="A165" s="2"/>
    </row>
    <row r="166" spans="1:1" ht="15.75" customHeight="1">
      <c r="A166" s="2"/>
    </row>
    <row r="167" spans="1:1" ht="15.75" customHeight="1">
      <c r="A167" s="2"/>
    </row>
    <row r="168" spans="1:1" ht="15.75" customHeight="1">
      <c r="A168" s="2"/>
    </row>
    <row r="169" spans="1:1" ht="15.75" customHeight="1">
      <c r="A169" s="2"/>
    </row>
    <row r="170" spans="1:1" ht="15.75" customHeight="1">
      <c r="A170" s="2"/>
    </row>
    <row r="171" spans="1:1" ht="15.75" customHeight="1">
      <c r="A171" s="2"/>
    </row>
    <row r="172" spans="1:1" ht="15.75" customHeight="1">
      <c r="A172" s="2"/>
    </row>
    <row r="173" spans="1:1" ht="15.75" customHeight="1">
      <c r="A173" s="2"/>
    </row>
    <row r="174" spans="1:1" ht="15.75" customHeight="1">
      <c r="A174" s="2"/>
    </row>
    <row r="175" spans="1:1" ht="15.75" customHeight="1">
      <c r="A175" s="2"/>
    </row>
    <row r="176" spans="1:1" ht="15.75" customHeight="1">
      <c r="A176" s="2"/>
    </row>
    <row r="177" spans="1:1" ht="15.75" customHeight="1">
      <c r="A177" s="2"/>
    </row>
    <row r="178" spans="1:1" ht="15.75" customHeight="1">
      <c r="A178" s="2"/>
    </row>
    <row r="179" spans="1:1" ht="15.75" customHeight="1">
      <c r="A179" s="2"/>
    </row>
    <row r="180" spans="1:1" ht="15.75" customHeight="1">
      <c r="A180" s="2"/>
    </row>
    <row r="181" spans="1:1" ht="15.75" customHeight="1">
      <c r="A181" s="2"/>
    </row>
    <row r="182" spans="1:1" ht="15.75" customHeight="1">
      <c r="A182" s="2"/>
    </row>
    <row r="183" spans="1:1" ht="15.75" customHeight="1">
      <c r="A183" s="2"/>
    </row>
    <row r="184" spans="1:1" ht="15.75" customHeight="1">
      <c r="A184" s="2"/>
    </row>
    <row r="185" spans="1:1" ht="15.75" customHeight="1">
      <c r="A185" s="2"/>
    </row>
    <row r="186" spans="1:1" ht="15.75" customHeight="1">
      <c r="A186" s="2"/>
    </row>
    <row r="187" spans="1:1" ht="15.75" customHeight="1">
      <c r="A187" s="2"/>
    </row>
    <row r="188" spans="1:1" ht="15.75" customHeight="1">
      <c r="A188" s="2"/>
    </row>
    <row r="189" spans="1:1" ht="15.75" customHeight="1">
      <c r="A189" s="2"/>
    </row>
    <row r="190" spans="1:1" ht="15.75" customHeight="1">
      <c r="A190" s="2"/>
    </row>
    <row r="191" spans="1:1" ht="15.75" customHeight="1">
      <c r="A191" s="2"/>
    </row>
    <row r="192" spans="1:1" ht="15.75" customHeight="1">
      <c r="A192" s="2"/>
    </row>
    <row r="193" spans="1:1" ht="15.75" customHeight="1">
      <c r="A193" s="2"/>
    </row>
    <row r="194" spans="1:1" ht="15.75" customHeight="1">
      <c r="A194" s="2"/>
    </row>
    <row r="195" spans="1:1" ht="15.75" customHeight="1">
      <c r="A195" s="2"/>
    </row>
    <row r="196" spans="1:1" ht="15.75" customHeight="1">
      <c r="A196" s="2"/>
    </row>
    <row r="197" spans="1:1" ht="15.75" customHeight="1">
      <c r="A197" s="2"/>
    </row>
    <row r="198" spans="1:1" ht="15.75" customHeight="1">
      <c r="A198" s="2"/>
    </row>
    <row r="199" spans="1:1" ht="15.75" customHeight="1">
      <c r="A199" s="2"/>
    </row>
    <row r="200" spans="1:1" ht="15.75" customHeight="1">
      <c r="A200" s="2"/>
    </row>
    <row r="201" spans="1:1" ht="15.75" customHeight="1">
      <c r="A201" s="2"/>
    </row>
    <row r="202" spans="1:1" ht="15.75" customHeight="1">
      <c r="A202" s="2"/>
    </row>
    <row r="203" spans="1:1" ht="15.75" customHeight="1">
      <c r="A203" s="2"/>
    </row>
    <row r="204" spans="1:1" ht="15.75" customHeight="1">
      <c r="A204" s="2"/>
    </row>
    <row r="205" spans="1:1" ht="15.75" customHeight="1">
      <c r="A205" s="2"/>
    </row>
    <row r="206" spans="1:1" ht="15.75" customHeight="1">
      <c r="A206" s="2"/>
    </row>
    <row r="207" spans="1:1" ht="15.75" customHeight="1">
      <c r="A207" s="2"/>
    </row>
    <row r="208" spans="1:1" ht="15.75" customHeight="1">
      <c r="A208" s="2"/>
    </row>
    <row r="209" spans="1:1" ht="15.75" customHeight="1">
      <c r="A209" s="2"/>
    </row>
    <row r="210" spans="1:1" ht="15.75" customHeight="1">
      <c r="A210" s="2"/>
    </row>
    <row r="211" spans="1:1" ht="15.75" customHeight="1">
      <c r="A211" s="2"/>
    </row>
    <row r="212" spans="1:1" ht="15.75" customHeight="1">
      <c r="A212" s="2"/>
    </row>
    <row r="213" spans="1:1" ht="15.75" customHeight="1">
      <c r="A213" s="2"/>
    </row>
    <row r="214" spans="1:1" ht="15.75" customHeight="1">
      <c r="A214" s="2"/>
    </row>
    <row r="215" spans="1:1" ht="15.75" customHeight="1">
      <c r="A215" s="2"/>
    </row>
    <row r="216" spans="1:1" ht="15.75" customHeight="1">
      <c r="A216" s="2"/>
    </row>
    <row r="217" spans="1:1" ht="15.75" customHeight="1">
      <c r="A217" s="2"/>
    </row>
    <row r="218" spans="1:1" ht="15.75" customHeight="1">
      <c r="A218" s="2"/>
    </row>
    <row r="219" spans="1:1" ht="15.75" customHeight="1">
      <c r="A219" s="2"/>
    </row>
    <row r="220" spans="1:1" ht="15.75" customHeight="1">
      <c r="A220" s="2"/>
    </row>
    <row r="221" spans="1:1" ht="15.75" customHeight="1">
      <c r="A221" s="2"/>
    </row>
    <row r="222" spans="1:1" ht="15.75" customHeight="1">
      <c r="A222" s="2"/>
    </row>
    <row r="223" spans="1:1" ht="15.75" customHeight="1">
      <c r="A223" s="2"/>
    </row>
    <row r="224" spans="1:1" ht="15.75" customHeight="1">
      <c r="A224" s="2"/>
    </row>
    <row r="225" spans="1:1" ht="15.75" customHeight="1">
      <c r="A225" s="2"/>
    </row>
    <row r="226" spans="1:1" ht="15.75" customHeight="1">
      <c r="A226" s="2"/>
    </row>
    <row r="227" spans="1:1" ht="15.75" customHeight="1">
      <c r="A227" s="2"/>
    </row>
    <row r="228" spans="1:1" ht="15.75" customHeight="1">
      <c r="A228" s="2"/>
    </row>
    <row r="229" spans="1:1" ht="15.75" customHeight="1">
      <c r="A229" s="2"/>
    </row>
    <row r="230" spans="1:1" ht="15.75" customHeight="1">
      <c r="A230" s="2"/>
    </row>
    <row r="231" spans="1:1" ht="15.75" customHeight="1">
      <c r="A231" s="2"/>
    </row>
    <row r="232" spans="1:1" ht="15.75" customHeight="1">
      <c r="A232" s="2"/>
    </row>
    <row r="233" spans="1:1" ht="15.75" customHeight="1">
      <c r="A233" s="2"/>
    </row>
    <row r="234" spans="1:1" ht="15.75" customHeight="1">
      <c r="A234" s="2"/>
    </row>
    <row r="235" spans="1:1" ht="15.75" customHeight="1">
      <c r="A235" s="2"/>
    </row>
    <row r="236" spans="1:1" ht="15.75" customHeight="1">
      <c r="A236" s="2"/>
    </row>
    <row r="237" spans="1:1" ht="15.75" customHeight="1">
      <c r="A237" s="2"/>
    </row>
    <row r="238" spans="1:1" ht="15.75" customHeight="1">
      <c r="A238" s="2"/>
    </row>
    <row r="239" spans="1:1" ht="15.75" customHeight="1">
      <c r="A239" s="2"/>
    </row>
    <row r="240" spans="1:1" ht="15.75" customHeight="1">
      <c r="A240" s="2"/>
    </row>
    <row r="241" spans="1:1" ht="15.75" customHeight="1">
      <c r="A241" s="2"/>
    </row>
    <row r="242" spans="1:1" ht="15.75" customHeight="1">
      <c r="A242" s="2"/>
    </row>
    <row r="243" spans="1:1" ht="15.75" customHeight="1">
      <c r="A243" s="2"/>
    </row>
    <row r="244" spans="1:1" ht="15.75" customHeight="1">
      <c r="A244" s="2"/>
    </row>
    <row r="245" spans="1:1" ht="15.75" customHeight="1">
      <c r="A245" s="2"/>
    </row>
    <row r="246" spans="1:1" ht="15.75" customHeight="1">
      <c r="A246" s="2"/>
    </row>
    <row r="247" spans="1:1" ht="15.75" customHeight="1">
      <c r="A247" s="2"/>
    </row>
    <row r="248" spans="1:1" ht="15.75" customHeight="1">
      <c r="A248" s="2"/>
    </row>
    <row r="249" spans="1:1" ht="15.75" customHeight="1">
      <c r="A249" s="2"/>
    </row>
    <row r="250" spans="1:1" ht="15.75" customHeight="1">
      <c r="A250" s="2"/>
    </row>
    <row r="251" spans="1:1" ht="15.75" customHeight="1">
      <c r="A251" s="2"/>
    </row>
    <row r="252" spans="1:1" ht="15.75" customHeight="1">
      <c r="A252" s="2"/>
    </row>
    <row r="253" spans="1:1" ht="15.75" customHeight="1">
      <c r="A253" s="2"/>
    </row>
    <row r="254" spans="1:1" ht="15.75" customHeight="1">
      <c r="A254" s="2"/>
    </row>
    <row r="255" spans="1:1" ht="15.75" customHeight="1">
      <c r="A255" s="2"/>
    </row>
    <row r="256" spans="1:1" ht="15.75" customHeight="1">
      <c r="A256" s="2"/>
    </row>
    <row r="257" spans="1:1" ht="15.75" customHeight="1">
      <c r="A257" s="2"/>
    </row>
    <row r="258" spans="1:1" ht="15.75" customHeight="1">
      <c r="A258" s="2"/>
    </row>
    <row r="259" spans="1:1" ht="15.75" customHeight="1">
      <c r="A259" s="2"/>
    </row>
    <row r="260" spans="1:1" ht="15.75" customHeight="1">
      <c r="A260" s="2"/>
    </row>
    <row r="261" spans="1:1" ht="15.75" customHeight="1">
      <c r="A261" s="2"/>
    </row>
    <row r="262" spans="1:1" ht="15.75" customHeight="1">
      <c r="A262" s="2"/>
    </row>
    <row r="263" spans="1:1" ht="15.75" customHeight="1">
      <c r="A263" s="2"/>
    </row>
    <row r="264" spans="1:1" ht="15.75" customHeight="1">
      <c r="A264" s="2"/>
    </row>
    <row r="265" spans="1:1" ht="15.75" customHeight="1">
      <c r="A265" s="2"/>
    </row>
    <row r="266" spans="1:1" ht="15.75" customHeight="1">
      <c r="A266" s="2"/>
    </row>
    <row r="267" spans="1:1" ht="15.75" customHeight="1">
      <c r="A267" s="2"/>
    </row>
    <row r="268" spans="1:1" ht="15.75" customHeight="1">
      <c r="A268" s="2"/>
    </row>
    <row r="269" spans="1:1" ht="15.75" customHeight="1">
      <c r="A269" s="2"/>
    </row>
    <row r="270" spans="1:1" ht="15.75" customHeight="1">
      <c r="A270" s="2"/>
    </row>
    <row r="271" spans="1:1" ht="15.75" customHeight="1">
      <c r="A271" s="2"/>
    </row>
    <row r="272" spans="1:1" ht="15.75" customHeight="1">
      <c r="A272" s="2"/>
    </row>
    <row r="273" spans="1:1" ht="15.75" customHeight="1">
      <c r="A273" s="2"/>
    </row>
    <row r="274" spans="1:1" ht="15.75" customHeight="1">
      <c r="A274" s="2"/>
    </row>
    <row r="275" spans="1:1" ht="15.75" customHeight="1">
      <c r="A275" s="2"/>
    </row>
    <row r="276" spans="1:1" ht="15.75" customHeight="1">
      <c r="A276" s="2"/>
    </row>
    <row r="277" spans="1:1" ht="15.75" customHeight="1">
      <c r="A277" s="2"/>
    </row>
    <row r="278" spans="1:1" ht="15.75" customHeight="1">
      <c r="A278" s="2"/>
    </row>
    <row r="279" spans="1:1" ht="15.75" customHeight="1">
      <c r="A279" s="2"/>
    </row>
    <row r="280" spans="1:1" ht="15.75" customHeight="1">
      <c r="A280" s="2"/>
    </row>
    <row r="281" spans="1:1" ht="15.75" customHeight="1">
      <c r="A281" s="2"/>
    </row>
    <row r="282" spans="1:1" ht="15.75" customHeight="1">
      <c r="A282" s="2"/>
    </row>
    <row r="283" spans="1:1" ht="15.75" customHeight="1">
      <c r="A283" s="2"/>
    </row>
    <row r="284" spans="1:1" ht="15.75" customHeight="1">
      <c r="A284" s="2"/>
    </row>
    <row r="285" spans="1:1" ht="15.75" customHeight="1">
      <c r="A285" s="2"/>
    </row>
    <row r="286" spans="1:1" ht="15.75" customHeight="1">
      <c r="A286" s="2"/>
    </row>
    <row r="287" spans="1:1" ht="15.75" customHeight="1">
      <c r="A287" s="2"/>
    </row>
    <row r="288" spans="1:1" ht="15.75" customHeight="1">
      <c r="A288" s="2"/>
    </row>
    <row r="289" spans="1:1" ht="15.75" customHeight="1">
      <c r="A289" s="2"/>
    </row>
    <row r="290" spans="1:1" ht="15.75" customHeight="1">
      <c r="A290" s="2"/>
    </row>
    <row r="291" spans="1:1" ht="15.75" customHeight="1">
      <c r="A291" s="2"/>
    </row>
    <row r="292" spans="1:1" ht="15.75" customHeight="1">
      <c r="A292" s="2"/>
    </row>
    <row r="293" spans="1:1" ht="15.75" customHeight="1">
      <c r="A293" s="2"/>
    </row>
    <row r="294" spans="1:1" ht="15.75" customHeight="1">
      <c r="A294" s="2"/>
    </row>
    <row r="295" spans="1:1" ht="15.75" customHeight="1">
      <c r="A295" s="2"/>
    </row>
    <row r="296" spans="1:1" ht="15.75" customHeight="1">
      <c r="A296" s="2"/>
    </row>
    <row r="297" spans="1:1" ht="15.75" customHeight="1">
      <c r="A297" s="2"/>
    </row>
    <row r="298" spans="1:1" ht="15.75" customHeight="1">
      <c r="A298" s="2"/>
    </row>
    <row r="299" spans="1:1" ht="15.75" customHeight="1">
      <c r="A299" s="2"/>
    </row>
    <row r="300" spans="1:1" ht="15.75" customHeight="1">
      <c r="A300" s="2"/>
    </row>
    <row r="301" spans="1:1" ht="15.75" customHeight="1">
      <c r="A301" s="2"/>
    </row>
    <row r="302" spans="1:1" ht="15.75" customHeight="1">
      <c r="A302" s="2"/>
    </row>
    <row r="303" spans="1:1" ht="15.75" customHeight="1">
      <c r="A303" s="2"/>
    </row>
    <row r="304" spans="1:1" ht="15.75" customHeight="1">
      <c r="A304" s="2"/>
    </row>
    <row r="305" spans="1:1" ht="15.75" customHeight="1">
      <c r="A305" s="2"/>
    </row>
    <row r="306" spans="1:1" ht="15.75" customHeight="1">
      <c r="A306" s="2"/>
    </row>
    <row r="307" spans="1:1" ht="15.75" customHeight="1">
      <c r="A307" s="2"/>
    </row>
    <row r="308" spans="1:1" ht="15.75" customHeight="1">
      <c r="A308" s="2"/>
    </row>
    <row r="309" spans="1:1" ht="15.75" customHeight="1">
      <c r="A309" s="2"/>
    </row>
    <row r="310" spans="1:1" ht="15.75" customHeight="1">
      <c r="A310" s="2"/>
    </row>
    <row r="311" spans="1:1" ht="15.75" customHeight="1">
      <c r="A311" s="2"/>
    </row>
    <row r="312" spans="1:1" ht="15.75" customHeight="1">
      <c r="A312" s="2"/>
    </row>
    <row r="313" spans="1:1" ht="15.75" customHeight="1">
      <c r="A313" s="2"/>
    </row>
    <row r="314" spans="1:1" ht="15.75" customHeight="1">
      <c r="A314" s="2"/>
    </row>
    <row r="315" spans="1:1" ht="15.75" customHeight="1">
      <c r="A315" s="2"/>
    </row>
    <row r="316" spans="1:1" ht="15.75" customHeight="1">
      <c r="A316" s="2"/>
    </row>
    <row r="317" spans="1:1" ht="15.75" customHeight="1">
      <c r="A317" s="2"/>
    </row>
    <row r="318" spans="1:1" ht="15.75" customHeight="1">
      <c r="A318" s="2"/>
    </row>
    <row r="319" spans="1:1" ht="15.75" customHeight="1">
      <c r="A319" s="2"/>
    </row>
    <row r="320" spans="1:1" ht="15.75" customHeight="1">
      <c r="A320" s="2"/>
    </row>
    <row r="321" spans="1:1" ht="15.75" customHeight="1">
      <c r="A321" s="2"/>
    </row>
    <row r="322" spans="1:1" ht="15.75" customHeight="1">
      <c r="A322" s="2"/>
    </row>
    <row r="323" spans="1:1" ht="15.75" customHeight="1">
      <c r="A323" s="2"/>
    </row>
    <row r="324" spans="1:1" ht="15.75" customHeight="1">
      <c r="A324" s="2"/>
    </row>
    <row r="325" spans="1:1" ht="15.75" customHeight="1">
      <c r="A325" s="2"/>
    </row>
    <row r="326" spans="1:1" ht="15.75" customHeight="1">
      <c r="A326" s="2"/>
    </row>
    <row r="327" spans="1:1" ht="15.75" customHeight="1">
      <c r="A327" s="2"/>
    </row>
    <row r="328" spans="1:1" ht="15.75" customHeight="1">
      <c r="A328" s="2"/>
    </row>
    <row r="329" spans="1:1" ht="15.75" customHeight="1">
      <c r="A329" s="2"/>
    </row>
    <row r="330" spans="1:1" ht="15.75" customHeight="1">
      <c r="A330" s="2"/>
    </row>
    <row r="331" spans="1:1" ht="15.75" customHeight="1">
      <c r="A331" s="2"/>
    </row>
    <row r="332" spans="1:1" ht="15.75" customHeight="1">
      <c r="A332" s="2"/>
    </row>
    <row r="333" spans="1:1" ht="15.75" customHeight="1">
      <c r="A333" s="2"/>
    </row>
    <row r="334" spans="1:1" ht="15.75" customHeight="1">
      <c r="A334" s="2"/>
    </row>
    <row r="335" spans="1:1" ht="15.75" customHeight="1">
      <c r="A335" s="2"/>
    </row>
    <row r="336" spans="1:1" ht="15.75" customHeight="1">
      <c r="A336" s="2"/>
    </row>
    <row r="337" spans="1:1" ht="15.75" customHeight="1">
      <c r="A337" s="2"/>
    </row>
    <row r="338" spans="1:1" ht="15.75" customHeight="1">
      <c r="A338" s="2"/>
    </row>
    <row r="339" spans="1:1" ht="15.75" customHeight="1">
      <c r="A339" s="2"/>
    </row>
    <row r="340" spans="1:1" ht="15.75" customHeight="1">
      <c r="A340" s="2"/>
    </row>
    <row r="341" spans="1:1" ht="15.75" customHeight="1">
      <c r="A341" s="2"/>
    </row>
    <row r="342" spans="1:1" ht="15.75" customHeight="1">
      <c r="A342" s="2"/>
    </row>
    <row r="343" spans="1:1" ht="15.75" customHeight="1">
      <c r="A343" s="2"/>
    </row>
    <row r="344" spans="1:1" ht="15.75" customHeight="1">
      <c r="A344" s="2"/>
    </row>
    <row r="345" spans="1:1" ht="15.75" customHeight="1">
      <c r="A345" s="2"/>
    </row>
    <row r="346" spans="1:1" ht="15.75" customHeight="1">
      <c r="A346" s="2"/>
    </row>
    <row r="347" spans="1:1" ht="15.75" customHeight="1">
      <c r="A347" s="2"/>
    </row>
    <row r="348" spans="1:1" ht="15.75" customHeight="1">
      <c r="A348" s="2"/>
    </row>
    <row r="349" spans="1:1" ht="15.75" customHeight="1">
      <c r="A349" s="2"/>
    </row>
    <row r="350" spans="1:1" ht="15.75" customHeight="1">
      <c r="A350" s="2"/>
    </row>
    <row r="351" spans="1:1" ht="15.75" customHeight="1">
      <c r="A351" s="2"/>
    </row>
    <row r="352" spans="1:1" ht="15.75" customHeight="1">
      <c r="A352" s="2"/>
    </row>
    <row r="353" spans="1:1" ht="15.75" customHeight="1">
      <c r="A353" s="2"/>
    </row>
    <row r="354" spans="1:1" ht="15.75" customHeight="1">
      <c r="A354" s="2"/>
    </row>
    <row r="355" spans="1:1" ht="15.75" customHeight="1">
      <c r="A355" s="2"/>
    </row>
    <row r="356" spans="1:1" ht="15.75" customHeight="1">
      <c r="A356" s="2"/>
    </row>
    <row r="357" spans="1:1" ht="15.75" customHeight="1">
      <c r="A357" s="2"/>
    </row>
    <row r="358" spans="1:1" ht="15.75" customHeight="1">
      <c r="A358" s="2"/>
    </row>
    <row r="359" spans="1:1" ht="15.75" customHeight="1">
      <c r="A359" s="2"/>
    </row>
    <row r="360" spans="1:1" ht="15.75" customHeight="1">
      <c r="A360" s="2"/>
    </row>
    <row r="361" spans="1:1" ht="15.75" customHeight="1">
      <c r="A361" s="2"/>
    </row>
    <row r="362" spans="1:1" ht="15.75" customHeight="1">
      <c r="A362" s="2"/>
    </row>
    <row r="363" spans="1:1" ht="15.75" customHeight="1">
      <c r="A363" s="2"/>
    </row>
    <row r="364" spans="1:1" ht="15.75" customHeight="1">
      <c r="A364" s="2"/>
    </row>
    <row r="365" spans="1:1" ht="15.75" customHeight="1">
      <c r="A365" s="2"/>
    </row>
    <row r="366" spans="1:1" ht="15.75" customHeight="1">
      <c r="A366" s="2"/>
    </row>
    <row r="367" spans="1:1" ht="15.75" customHeight="1">
      <c r="A367" s="2"/>
    </row>
    <row r="368" spans="1:1" ht="15.75" customHeight="1">
      <c r="A368" s="2"/>
    </row>
    <row r="369" spans="1:1" ht="15.75" customHeight="1">
      <c r="A369" s="2"/>
    </row>
    <row r="370" spans="1:1" ht="15.75" customHeight="1">
      <c r="A370" s="2"/>
    </row>
    <row r="371" spans="1:1" ht="15.75" customHeight="1">
      <c r="A371" s="2"/>
    </row>
    <row r="372" spans="1:1" ht="15.75" customHeight="1">
      <c r="A372" s="2"/>
    </row>
    <row r="373" spans="1:1" ht="15.75" customHeight="1">
      <c r="A373" s="2"/>
    </row>
    <row r="374" spans="1:1" ht="15.75" customHeight="1">
      <c r="A374" s="2"/>
    </row>
    <row r="375" spans="1:1" ht="15.75" customHeight="1">
      <c r="A375" s="2"/>
    </row>
    <row r="376" spans="1:1" ht="15.75" customHeight="1">
      <c r="A376" s="2"/>
    </row>
    <row r="377" spans="1:1" ht="15.75" customHeight="1">
      <c r="A377" s="2"/>
    </row>
    <row r="378" spans="1:1" ht="15.75" customHeight="1">
      <c r="A378" s="2"/>
    </row>
    <row r="379" spans="1:1" ht="15.75" customHeight="1">
      <c r="A379" s="2"/>
    </row>
    <row r="380" spans="1:1" ht="15.75" customHeight="1">
      <c r="A380" s="2"/>
    </row>
    <row r="381" spans="1:1" ht="15.75" customHeight="1">
      <c r="A381" s="2"/>
    </row>
    <row r="382" spans="1:1" ht="15.75" customHeight="1">
      <c r="A382" s="2"/>
    </row>
    <row r="383" spans="1:1" ht="15.75" customHeight="1">
      <c r="A383" s="2"/>
    </row>
    <row r="384" spans="1:1" ht="15.75" customHeight="1">
      <c r="A384" s="2"/>
    </row>
    <row r="385" spans="1:1" ht="15.75" customHeight="1">
      <c r="A385" s="2"/>
    </row>
    <row r="386" spans="1:1" ht="15.75" customHeight="1">
      <c r="A386" s="2"/>
    </row>
    <row r="387" spans="1:1" ht="15.75" customHeight="1">
      <c r="A387" s="2"/>
    </row>
    <row r="388" spans="1:1" ht="15.75" customHeight="1">
      <c r="A388" s="2"/>
    </row>
    <row r="389" spans="1:1" ht="15.75" customHeight="1">
      <c r="A389" s="2"/>
    </row>
    <row r="390" spans="1:1" ht="15.75" customHeight="1">
      <c r="A390" s="2"/>
    </row>
    <row r="391" spans="1:1" ht="15.75" customHeight="1">
      <c r="A391" s="2"/>
    </row>
    <row r="392" spans="1:1" ht="15.75" customHeight="1">
      <c r="A392" s="2"/>
    </row>
    <row r="393" spans="1:1" ht="15.75" customHeight="1">
      <c r="A393" s="2"/>
    </row>
    <row r="394" spans="1:1" ht="15.75" customHeight="1">
      <c r="A394" s="2"/>
    </row>
    <row r="395" spans="1:1" ht="15.75" customHeight="1">
      <c r="A395" s="2"/>
    </row>
    <row r="396" spans="1:1" ht="15.75" customHeight="1">
      <c r="A396" s="2"/>
    </row>
    <row r="397" spans="1:1" ht="15.75" customHeight="1">
      <c r="A397" s="2"/>
    </row>
    <row r="398" spans="1:1" ht="15.75" customHeight="1">
      <c r="A398" s="2"/>
    </row>
    <row r="399" spans="1:1" ht="15.75" customHeight="1">
      <c r="A399" s="2"/>
    </row>
    <row r="400" spans="1:1" ht="15.75" customHeight="1">
      <c r="A400" s="2"/>
    </row>
    <row r="401" spans="1:1" ht="15.75" customHeight="1">
      <c r="A401" s="2"/>
    </row>
    <row r="402" spans="1:1" ht="15.75" customHeight="1">
      <c r="A402" s="2"/>
    </row>
    <row r="403" spans="1:1" ht="15.75" customHeight="1">
      <c r="A403" s="2"/>
    </row>
    <row r="404" spans="1:1" ht="15.75" customHeight="1">
      <c r="A404" s="2"/>
    </row>
    <row r="405" spans="1:1" ht="15.75" customHeight="1">
      <c r="A405" s="2"/>
    </row>
    <row r="406" spans="1:1" ht="15.75" customHeight="1">
      <c r="A406" s="2"/>
    </row>
    <row r="407" spans="1:1" ht="15.75" customHeight="1">
      <c r="A407" s="2"/>
    </row>
    <row r="408" spans="1:1" ht="15.75" customHeight="1">
      <c r="A408" s="2"/>
    </row>
    <row r="409" spans="1:1" ht="15.75" customHeight="1">
      <c r="A409" s="2"/>
    </row>
    <row r="410" spans="1:1" ht="15.75" customHeight="1">
      <c r="A410" s="2"/>
    </row>
    <row r="411" spans="1:1" ht="15.75" customHeight="1">
      <c r="A411" s="2"/>
    </row>
    <row r="412" spans="1:1" ht="15.75" customHeight="1">
      <c r="A412" s="2"/>
    </row>
    <row r="413" spans="1:1" ht="15.75" customHeight="1">
      <c r="A413" s="2"/>
    </row>
    <row r="414" spans="1:1" ht="15.75" customHeight="1">
      <c r="A414" s="2"/>
    </row>
    <row r="415" spans="1:1" ht="15.75" customHeight="1">
      <c r="A415" s="2"/>
    </row>
    <row r="416" spans="1:1" ht="15.75" customHeight="1">
      <c r="A416" s="2"/>
    </row>
    <row r="417" spans="1:1" ht="15.75" customHeight="1">
      <c r="A417" s="2"/>
    </row>
    <row r="418" spans="1:1" ht="15.75" customHeight="1">
      <c r="A418" s="2"/>
    </row>
    <row r="419" spans="1:1" ht="15.75" customHeight="1">
      <c r="A419" s="2"/>
    </row>
    <row r="420" spans="1:1" ht="15.75" customHeight="1">
      <c r="A420" s="2"/>
    </row>
    <row r="421" spans="1:1" ht="15.75" customHeight="1">
      <c r="A421" s="2"/>
    </row>
    <row r="422" spans="1:1" ht="15.75" customHeight="1">
      <c r="A422" s="2"/>
    </row>
    <row r="423" spans="1:1" ht="15.75" customHeight="1">
      <c r="A423" s="2"/>
    </row>
    <row r="424" spans="1:1" ht="15.75" customHeight="1">
      <c r="A424" s="2"/>
    </row>
    <row r="425" spans="1:1" ht="15.75" customHeight="1">
      <c r="A425" s="2"/>
    </row>
    <row r="426" spans="1:1" ht="15.75" customHeight="1">
      <c r="A426" s="2"/>
    </row>
    <row r="427" spans="1:1" ht="15.75" customHeight="1">
      <c r="A427" s="2"/>
    </row>
    <row r="428" spans="1:1" ht="15.75" customHeight="1">
      <c r="A428" s="2"/>
    </row>
    <row r="429" spans="1:1" ht="15.75" customHeight="1">
      <c r="A429" s="2"/>
    </row>
    <row r="430" spans="1:1" ht="15.75" customHeight="1">
      <c r="A430" s="2"/>
    </row>
    <row r="431" spans="1:1" ht="15.75" customHeight="1">
      <c r="A431" s="2"/>
    </row>
    <row r="432" spans="1:1" ht="15.75" customHeight="1">
      <c r="A432" s="2"/>
    </row>
    <row r="433" spans="1:1" ht="15.75" customHeight="1">
      <c r="A433" s="2"/>
    </row>
    <row r="434" spans="1:1" ht="15.75" customHeight="1">
      <c r="A434" s="2"/>
    </row>
    <row r="435" spans="1:1" ht="15.75" customHeight="1">
      <c r="A435" s="2"/>
    </row>
    <row r="436" spans="1:1" ht="15.75" customHeight="1">
      <c r="A436" s="2"/>
    </row>
    <row r="437" spans="1:1" ht="15.75" customHeight="1">
      <c r="A437" s="2"/>
    </row>
    <row r="438" spans="1:1" ht="15.75" customHeight="1">
      <c r="A438" s="2"/>
    </row>
    <row r="439" spans="1:1" ht="15.75" customHeight="1">
      <c r="A439" s="2"/>
    </row>
    <row r="440" spans="1:1" ht="15.75" customHeight="1">
      <c r="A440" s="2"/>
    </row>
    <row r="441" spans="1:1" ht="15.75" customHeight="1">
      <c r="A441" s="2"/>
    </row>
    <row r="442" spans="1:1" ht="15.75" customHeight="1">
      <c r="A442" s="2"/>
    </row>
    <row r="443" spans="1:1" ht="15.75" customHeight="1">
      <c r="A443" s="2"/>
    </row>
    <row r="444" spans="1:1" ht="15.75" customHeight="1">
      <c r="A444" s="2"/>
    </row>
    <row r="445" spans="1:1" ht="15.75" customHeight="1">
      <c r="A445" s="2"/>
    </row>
    <row r="446" spans="1:1" ht="15.75" customHeight="1">
      <c r="A446" s="2"/>
    </row>
    <row r="447" spans="1:1" ht="15.75" customHeight="1">
      <c r="A447" s="2"/>
    </row>
    <row r="448" spans="1:1" ht="15.75" customHeight="1">
      <c r="A448" s="2"/>
    </row>
    <row r="449" spans="1:1" ht="15.75" customHeight="1">
      <c r="A449" s="2"/>
    </row>
    <row r="450" spans="1:1" ht="15.75" customHeight="1">
      <c r="A450" s="2"/>
    </row>
    <row r="451" spans="1:1" ht="15.75" customHeight="1">
      <c r="A451" s="2"/>
    </row>
    <row r="452" spans="1:1" ht="15.75" customHeight="1">
      <c r="A452" s="2"/>
    </row>
    <row r="453" spans="1:1" ht="15.75" customHeight="1">
      <c r="A453" s="2"/>
    </row>
    <row r="454" spans="1:1" ht="15.75" customHeight="1">
      <c r="A454" s="2"/>
    </row>
    <row r="455" spans="1:1" ht="15.75" customHeight="1">
      <c r="A455" s="2"/>
    </row>
    <row r="456" spans="1:1" ht="15.75" customHeight="1">
      <c r="A456" s="2"/>
    </row>
    <row r="457" spans="1:1" ht="15.75" customHeight="1">
      <c r="A457" s="2"/>
    </row>
    <row r="458" spans="1:1" ht="15.75" customHeight="1">
      <c r="A458" s="2"/>
    </row>
    <row r="459" spans="1:1" ht="15.75" customHeight="1">
      <c r="A459" s="2"/>
    </row>
    <row r="460" spans="1:1" ht="15.75" customHeight="1">
      <c r="A460" s="2"/>
    </row>
    <row r="461" spans="1:1" ht="15.75" customHeight="1">
      <c r="A461" s="2"/>
    </row>
    <row r="462" spans="1:1" ht="15.75" customHeight="1">
      <c r="A462" s="2"/>
    </row>
    <row r="463" spans="1:1" ht="15.75" customHeight="1">
      <c r="A463" s="2"/>
    </row>
    <row r="464" spans="1:1" ht="15.75" customHeight="1">
      <c r="A464" s="2"/>
    </row>
    <row r="465" spans="1:1" ht="15.75" customHeight="1">
      <c r="A465" s="2"/>
    </row>
    <row r="466" spans="1:1" ht="15.75" customHeight="1">
      <c r="A466" s="2"/>
    </row>
    <row r="467" spans="1:1" ht="15.75" customHeight="1">
      <c r="A467" s="2"/>
    </row>
    <row r="468" spans="1:1" ht="15.75" customHeight="1">
      <c r="A468" s="2"/>
    </row>
    <row r="469" spans="1:1" ht="15.75" customHeight="1">
      <c r="A469" s="2"/>
    </row>
    <row r="470" spans="1:1" ht="15.75" customHeight="1">
      <c r="A470" s="2"/>
    </row>
    <row r="471" spans="1:1" ht="15.75" customHeight="1">
      <c r="A471" s="2"/>
    </row>
    <row r="472" spans="1:1" ht="15.75" customHeight="1">
      <c r="A472" s="2"/>
    </row>
    <row r="473" spans="1:1" ht="15.75" customHeight="1">
      <c r="A473" s="2"/>
    </row>
    <row r="474" spans="1:1" ht="15.75" customHeight="1">
      <c r="A474" s="2"/>
    </row>
    <row r="475" spans="1:1" ht="15.75" customHeight="1">
      <c r="A475" s="2"/>
    </row>
    <row r="476" spans="1:1" ht="15.75" customHeight="1">
      <c r="A476" s="2"/>
    </row>
    <row r="477" spans="1:1" ht="15.75" customHeight="1">
      <c r="A477" s="2"/>
    </row>
    <row r="478" spans="1:1" ht="15.75" customHeight="1">
      <c r="A478" s="2"/>
    </row>
    <row r="479" spans="1:1" ht="15.75" customHeight="1">
      <c r="A479" s="2"/>
    </row>
    <row r="480" spans="1:1" ht="15.75" customHeight="1">
      <c r="A480" s="2"/>
    </row>
    <row r="481" spans="1:1" ht="15.75" customHeight="1">
      <c r="A481" s="2"/>
    </row>
    <row r="482" spans="1:1" ht="15.75" customHeight="1">
      <c r="A482" s="2"/>
    </row>
    <row r="483" spans="1:1" ht="15.75" customHeight="1">
      <c r="A483" s="2"/>
    </row>
    <row r="484" spans="1:1" ht="15.75" customHeight="1">
      <c r="A484" s="2"/>
    </row>
    <row r="485" spans="1:1" ht="15.75" customHeight="1">
      <c r="A485" s="2"/>
    </row>
    <row r="486" spans="1:1" ht="15.75" customHeight="1">
      <c r="A486" s="2"/>
    </row>
    <row r="487" spans="1:1" ht="15.75" customHeight="1">
      <c r="A487" s="2"/>
    </row>
    <row r="488" spans="1:1" ht="15.75" customHeight="1">
      <c r="A488" s="2"/>
    </row>
    <row r="489" spans="1:1" ht="15.75" customHeight="1">
      <c r="A489" s="2"/>
    </row>
    <row r="490" spans="1:1" ht="15.75" customHeight="1">
      <c r="A490" s="2"/>
    </row>
    <row r="491" spans="1:1" ht="15.75" customHeight="1">
      <c r="A491" s="2"/>
    </row>
    <row r="492" spans="1:1" ht="15.75" customHeight="1">
      <c r="A492" s="2"/>
    </row>
    <row r="493" spans="1:1" ht="15.75" customHeight="1">
      <c r="A493" s="2"/>
    </row>
    <row r="494" spans="1:1" ht="15.75" customHeight="1">
      <c r="A494" s="2"/>
    </row>
    <row r="495" spans="1:1" ht="15.75" customHeight="1">
      <c r="A495" s="2"/>
    </row>
    <row r="496" spans="1:1" ht="15.75" customHeight="1">
      <c r="A496" s="2"/>
    </row>
    <row r="497" spans="1:1" ht="15.75" customHeight="1">
      <c r="A497" s="2"/>
    </row>
    <row r="498" spans="1:1" ht="15.75" customHeight="1">
      <c r="A498" s="2"/>
    </row>
    <row r="499" spans="1:1" ht="15.75" customHeight="1">
      <c r="A499" s="2"/>
    </row>
    <row r="500" spans="1:1" ht="15.75" customHeight="1">
      <c r="A500" s="2"/>
    </row>
    <row r="501" spans="1:1" ht="15.75" customHeight="1">
      <c r="A501" s="2"/>
    </row>
    <row r="502" spans="1:1" ht="15.75" customHeight="1">
      <c r="A502" s="2"/>
    </row>
    <row r="503" spans="1:1" ht="15.75" customHeight="1">
      <c r="A503" s="2"/>
    </row>
    <row r="504" spans="1:1" ht="15.75" customHeight="1">
      <c r="A504" s="2"/>
    </row>
    <row r="505" spans="1:1" ht="15.75" customHeight="1">
      <c r="A505" s="2"/>
    </row>
    <row r="506" spans="1:1" ht="15.75" customHeight="1">
      <c r="A506" s="2"/>
    </row>
    <row r="507" spans="1:1" ht="15.75" customHeight="1">
      <c r="A507" s="2"/>
    </row>
    <row r="508" spans="1:1" ht="15.75" customHeight="1">
      <c r="A508" s="2"/>
    </row>
    <row r="509" spans="1:1" ht="15.75" customHeight="1">
      <c r="A509" s="2"/>
    </row>
    <row r="510" spans="1:1" ht="15.75" customHeight="1">
      <c r="A510" s="2"/>
    </row>
    <row r="511" spans="1:1" ht="15.75" customHeight="1">
      <c r="A511" s="2"/>
    </row>
    <row r="512" spans="1:1" ht="15.75" customHeight="1">
      <c r="A512" s="2"/>
    </row>
    <row r="513" spans="1:1" ht="15.75" customHeight="1">
      <c r="A513" s="2"/>
    </row>
    <row r="514" spans="1:1" ht="15.75" customHeight="1">
      <c r="A514" s="2"/>
    </row>
    <row r="515" spans="1:1" ht="15.75" customHeight="1">
      <c r="A515" s="2"/>
    </row>
    <row r="516" spans="1:1" ht="15.75" customHeight="1">
      <c r="A516" s="2"/>
    </row>
    <row r="517" spans="1:1" ht="15.75" customHeight="1">
      <c r="A517" s="2"/>
    </row>
    <row r="518" spans="1:1" ht="15.75" customHeight="1">
      <c r="A518" s="2"/>
    </row>
    <row r="519" spans="1:1" ht="15.75" customHeight="1">
      <c r="A519" s="2"/>
    </row>
    <row r="520" spans="1:1" ht="15.75" customHeight="1">
      <c r="A520" s="2"/>
    </row>
    <row r="521" spans="1:1" ht="15.75" customHeight="1">
      <c r="A521" s="2"/>
    </row>
    <row r="522" spans="1:1" ht="15.75" customHeight="1">
      <c r="A522" s="2"/>
    </row>
    <row r="523" spans="1:1" ht="15.75" customHeight="1">
      <c r="A523" s="2"/>
    </row>
    <row r="524" spans="1:1" ht="15.75" customHeight="1">
      <c r="A524" s="2"/>
    </row>
    <row r="525" spans="1:1" ht="15.75" customHeight="1">
      <c r="A525" s="2"/>
    </row>
    <row r="526" spans="1:1" ht="15.75" customHeight="1">
      <c r="A526" s="2"/>
    </row>
    <row r="527" spans="1:1" ht="15.75" customHeight="1">
      <c r="A527" s="2"/>
    </row>
    <row r="528" spans="1:1" ht="15.75" customHeight="1">
      <c r="A528" s="2"/>
    </row>
    <row r="529" spans="1:1" ht="15.75" customHeight="1">
      <c r="A529" s="2"/>
    </row>
    <row r="530" spans="1:1" ht="15.75" customHeight="1">
      <c r="A530" s="2"/>
    </row>
    <row r="531" spans="1:1" ht="15.75" customHeight="1">
      <c r="A531" s="2"/>
    </row>
    <row r="532" spans="1:1" ht="15.75" customHeight="1">
      <c r="A532" s="2"/>
    </row>
    <row r="533" spans="1:1" ht="15.75" customHeight="1">
      <c r="A533" s="2"/>
    </row>
    <row r="534" spans="1:1" ht="15.75" customHeight="1">
      <c r="A534" s="2"/>
    </row>
    <row r="535" spans="1:1" ht="15.75" customHeight="1">
      <c r="A535" s="2"/>
    </row>
    <row r="536" spans="1:1" ht="15.75" customHeight="1">
      <c r="A536" s="2"/>
    </row>
    <row r="537" spans="1:1" ht="15.75" customHeight="1">
      <c r="A537" s="2"/>
    </row>
    <row r="538" spans="1:1" ht="15.75" customHeight="1">
      <c r="A538" s="2"/>
    </row>
    <row r="539" spans="1:1" ht="15.75" customHeight="1">
      <c r="A539" s="2"/>
    </row>
    <row r="540" spans="1:1" ht="15.75" customHeight="1">
      <c r="A540" s="2"/>
    </row>
    <row r="541" spans="1:1" ht="15.75" customHeight="1">
      <c r="A541" s="2"/>
    </row>
    <row r="542" spans="1:1" ht="15.75" customHeight="1">
      <c r="A542" s="2"/>
    </row>
    <row r="543" spans="1:1" ht="15.75" customHeight="1">
      <c r="A543" s="2"/>
    </row>
    <row r="544" spans="1:1" ht="15.75" customHeight="1">
      <c r="A544" s="2"/>
    </row>
    <row r="545" spans="1:1" ht="15.75" customHeight="1">
      <c r="A545" s="2"/>
    </row>
    <row r="546" spans="1:1" ht="15.75" customHeight="1">
      <c r="A546" s="2"/>
    </row>
    <row r="547" spans="1:1" ht="15.75" customHeight="1">
      <c r="A547" s="2"/>
    </row>
    <row r="548" spans="1:1" ht="15.75" customHeight="1">
      <c r="A548" s="2"/>
    </row>
    <row r="549" spans="1:1" ht="15.75" customHeight="1">
      <c r="A549" s="2"/>
    </row>
    <row r="550" spans="1:1" ht="15.75" customHeight="1">
      <c r="A550" s="2"/>
    </row>
    <row r="551" spans="1:1" ht="15.75" customHeight="1">
      <c r="A551" s="2"/>
    </row>
    <row r="552" spans="1:1" ht="15.75" customHeight="1">
      <c r="A552" s="2"/>
    </row>
    <row r="553" spans="1:1" ht="15.75" customHeight="1">
      <c r="A553" s="2"/>
    </row>
    <row r="554" spans="1:1" ht="15.75" customHeight="1">
      <c r="A554" s="2"/>
    </row>
    <row r="555" spans="1:1" ht="15.75" customHeight="1">
      <c r="A555" s="2"/>
    </row>
    <row r="556" spans="1:1" ht="15.75" customHeight="1">
      <c r="A556" s="2"/>
    </row>
    <row r="557" spans="1:1" ht="15.75" customHeight="1">
      <c r="A557" s="2"/>
    </row>
    <row r="558" spans="1:1" ht="15.75" customHeight="1">
      <c r="A558" s="2"/>
    </row>
    <row r="559" spans="1:1" ht="15.75" customHeight="1">
      <c r="A559" s="2"/>
    </row>
    <row r="560" spans="1:1" ht="15.75" customHeight="1">
      <c r="A560" s="2"/>
    </row>
    <row r="561" spans="1:1" ht="15.75" customHeight="1">
      <c r="A561" s="2"/>
    </row>
    <row r="562" spans="1:1" ht="15.75" customHeight="1">
      <c r="A562" s="2"/>
    </row>
    <row r="563" spans="1:1" ht="15.75" customHeight="1">
      <c r="A563" s="2"/>
    </row>
    <row r="564" spans="1:1" ht="15.75" customHeight="1">
      <c r="A564" s="2"/>
    </row>
    <row r="565" spans="1:1" ht="15.75" customHeight="1">
      <c r="A565" s="2"/>
    </row>
    <row r="566" spans="1:1" ht="15.75" customHeight="1">
      <c r="A566" s="2"/>
    </row>
    <row r="567" spans="1:1" ht="15.75" customHeight="1">
      <c r="A567" s="2"/>
    </row>
    <row r="568" spans="1:1" ht="15.75" customHeight="1">
      <c r="A568" s="2"/>
    </row>
    <row r="569" spans="1:1" ht="15.75" customHeight="1">
      <c r="A569" s="2"/>
    </row>
    <row r="570" spans="1:1" ht="15.75" customHeight="1">
      <c r="A570" s="2"/>
    </row>
    <row r="571" spans="1:1" ht="15.75" customHeight="1">
      <c r="A571" s="2"/>
    </row>
    <row r="572" spans="1:1" ht="15.75" customHeight="1">
      <c r="A572" s="2"/>
    </row>
    <row r="573" spans="1:1" ht="15.75" customHeight="1">
      <c r="A573" s="2"/>
    </row>
    <row r="574" spans="1:1" ht="15.75" customHeight="1">
      <c r="A574" s="2"/>
    </row>
    <row r="575" spans="1:1" ht="15.75" customHeight="1">
      <c r="A575" s="2"/>
    </row>
    <row r="576" spans="1:1" ht="15.75" customHeight="1">
      <c r="A576" s="2"/>
    </row>
    <row r="577" spans="1:1" ht="15.75" customHeight="1">
      <c r="A577" s="2"/>
    </row>
    <row r="578" spans="1:1" ht="15.75" customHeight="1">
      <c r="A578" s="2"/>
    </row>
    <row r="579" spans="1:1" ht="15.75" customHeight="1">
      <c r="A579" s="2"/>
    </row>
    <row r="580" spans="1:1" ht="15.75" customHeight="1">
      <c r="A580" s="2"/>
    </row>
    <row r="581" spans="1:1" ht="15.75" customHeight="1">
      <c r="A581" s="2"/>
    </row>
    <row r="582" spans="1:1" ht="15.75" customHeight="1">
      <c r="A582" s="2"/>
    </row>
    <row r="583" spans="1:1" ht="15.75" customHeight="1">
      <c r="A583" s="2"/>
    </row>
    <row r="584" spans="1:1" ht="15.75" customHeight="1">
      <c r="A584" s="2"/>
    </row>
    <row r="585" spans="1:1" ht="15.75" customHeight="1">
      <c r="A585" s="2"/>
    </row>
    <row r="586" spans="1:1" ht="15.75" customHeight="1">
      <c r="A586" s="2"/>
    </row>
    <row r="587" spans="1:1" ht="15.75" customHeight="1">
      <c r="A587" s="2"/>
    </row>
    <row r="588" spans="1:1" ht="15.75" customHeight="1">
      <c r="A588" s="2"/>
    </row>
    <row r="589" spans="1:1" ht="15.75" customHeight="1">
      <c r="A589" s="2"/>
    </row>
    <row r="590" spans="1:1" ht="15.75" customHeight="1">
      <c r="A590" s="2"/>
    </row>
    <row r="591" spans="1:1" ht="15.75" customHeight="1">
      <c r="A591" s="2"/>
    </row>
    <row r="592" spans="1:1" ht="15.75" customHeight="1">
      <c r="A592" s="2"/>
    </row>
    <row r="593" spans="1:1" ht="15.75" customHeight="1">
      <c r="A593" s="2"/>
    </row>
    <row r="594" spans="1:1" ht="15.75" customHeight="1">
      <c r="A594" s="2"/>
    </row>
    <row r="595" spans="1:1" ht="15.75" customHeight="1">
      <c r="A595" s="2"/>
    </row>
    <row r="596" spans="1:1" ht="15.75" customHeight="1">
      <c r="A596" s="2"/>
    </row>
    <row r="597" spans="1:1" ht="15.75" customHeight="1">
      <c r="A597" s="2"/>
    </row>
    <row r="598" spans="1:1" ht="15.75" customHeight="1">
      <c r="A598" s="2"/>
    </row>
    <row r="599" spans="1:1" ht="15.75" customHeight="1">
      <c r="A599" s="2"/>
    </row>
    <row r="600" spans="1:1" ht="15.75" customHeight="1">
      <c r="A600" s="2"/>
    </row>
    <row r="601" spans="1:1" ht="15.75" customHeight="1">
      <c r="A601" s="2"/>
    </row>
    <row r="602" spans="1:1" ht="15.75" customHeight="1">
      <c r="A602" s="2"/>
    </row>
    <row r="603" spans="1:1" ht="15.75" customHeight="1">
      <c r="A603" s="2"/>
    </row>
    <row r="604" spans="1:1" ht="15.75" customHeight="1">
      <c r="A604" s="2"/>
    </row>
    <row r="605" spans="1:1" ht="15.75" customHeight="1">
      <c r="A605" s="2"/>
    </row>
    <row r="606" spans="1:1" ht="15.75" customHeight="1">
      <c r="A606" s="2"/>
    </row>
    <row r="607" spans="1:1" ht="15.75" customHeight="1">
      <c r="A607" s="2"/>
    </row>
    <row r="608" spans="1:1" ht="15.75" customHeight="1">
      <c r="A608" s="2"/>
    </row>
    <row r="609" spans="1:1" ht="15.75" customHeight="1">
      <c r="A609" s="2"/>
    </row>
    <row r="610" spans="1:1" ht="15.75" customHeight="1">
      <c r="A610" s="2"/>
    </row>
    <row r="611" spans="1:1" ht="15.75" customHeight="1">
      <c r="A611" s="2"/>
    </row>
    <row r="612" spans="1:1" ht="15.75" customHeight="1">
      <c r="A612" s="2"/>
    </row>
    <row r="613" spans="1:1" ht="15.75" customHeight="1">
      <c r="A613" s="2"/>
    </row>
    <row r="614" spans="1:1" ht="15.75" customHeight="1">
      <c r="A614" s="2"/>
    </row>
    <row r="615" spans="1:1" ht="15.75" customHeight="1">
      <c r="A615" s="2"/>
    </row>
    <row r="616" spans="1:1" ht="15.75" customHeight="1">
      <c r="A616" s="2"/>
    </row>
    <row r="617" spans="1:1" ht="15.75" customHeight="1">
      <c r="A617" s="2"/>
    </row>
    <row r="618" spans="1:1" ht="15.75" customHeight="1">
      <c r="A618" s="2"/>
    </row>
    <row r="619" spans="1:1" ht="15.75" customHeight="1">
      <c r="A619" s="2"/>
    </row>
    <row r="620" spans="1:1" ht="15.75" customHeight="1">
      <c r="A620" s="2"/>
    </row>
    <row r="621" spans="1:1" ht="15.75" customHeight="1">
      <c r="A621" s="2"/>
    </row>
    <row r="622" spans="1:1" ht="15.75" customHeight="1">
      <c r="A622" s="2"/>
    </row>
    <row r="623" spans="1:1" ht="15.75" customHeight="1">
      <c r="A623" s="2"/>
    </row>
    <row r="624" spans="1:1" ht="15.75" customHeight="1">
      <c r="A624" s="2"/>
    </row>
    <row r="625" spans="1:1" ht="15.75" customHeight="1">
      <c r="A625" s="2"/>
    </row>
    <row r="626" spans="1:1" ht="15.75" customHeight="1">
      <c r="A626" s="2"/>
    </row>
    <row r="627" spans="1:1" ht="15.75" customHeight="1">
      <c r="A627" s="2"/>
    </row>
    <row r="628" spans="1:1" ht="15.75" customHeight="1">
      <c r="A628" s="2"/>
    </row>
    <row r="629" spans="1:1" ht="15.75" customHeight="1">
      <c r="A629" s="2"/>
    </row>
    <row r="630" spans="1:1" ht="15.75" customHeight="1">
      <c r="A630" s="2"/>
    </row>
    <row r="631" spans="1:1" ht="15.75" customHeight="1">
      <c r="A631" s="2"/>
    </row>
    <row r="632" spans="1:1" ht="15.75" customHeight="1">
      <c r="A632" s="2"/>
    </row>
    <row r="633" spans="1:1" ht="15.75" customHeight="1">
      <c r="A633" s="2"/>
    </row>
    <row r="634" spans="1:1" ht="15.75" customHeight="1">
      <c r="A634" s="2"/>
    </row>
    <row r="635" spans="1:1" ht="15.75" customHeight="1">
      <c r="A635" s="2"/>
    </row>
    <row r="636" spans="1:1" ht="15.75" customHeight="1">
      <c r="A636" s="2"/>
    </row>
    <row r="637" spans="1:1" ht="15.75" customHeight="1">
      <c r="A637" s="2"/>
    </row>
    <row r="638" spans="1:1" ht="15.75" customHeight="1">
      <c r="A638" s="2"/>
    </row>
    <row r="639" spans="1:1" ht="15.75" customHeight="1">
      <c r="A639" s="2"/>
    </row>
    <row r="640" spans="1:1" ht="15.75" customHeight="1">
      <c r="A640" s="2"/>
    </row>
    <row r="641" spans="1:1" ht="15.75" customHeight="1">
      <c r="A641" s="2"/>
    </row>
    <row r="642" spans="1:1" ht="15.75" customHeight="1">
      <c r="A642" s="2"/>
    </row>
    <row r="643" spans="1:1" ht="15.75" customHeight="1">
      <c r="A643" s="2"/>
    </row>
    <row r="644" spans="1:1" ht="15.75" customHeight="1">
      <c r="A644" s="2"/>
    </row>
    <row r="645" spans="1:1" ht="15.75" customHeight="1">
      <c r="A645" s="2"/>
    </row>
    <row r="646" spans="1:1" ht="15.75" customHeight="1">
      <c r="A646" s="2"/>
    </row>
    <row r="647" spans="1:1" ht="15.75" customHeight="1">
      <c r="A647" s="2"/>
    </row>
    <row r="648" spans="1:1" ht="15.75" customHeight="1">
      <c r="A648" s="2"/>
    </row>
    <row r="649" spans="1:1" ht="15.75" customHeight="1">
      <c r="A649" s="2"/>
    </row>
    <row r="650" spans="1:1" ht="15.75" customHeight="1">
      <c r="A650" s="2"/>
    </row>
    <row r="651" spans="1:1" ht="15.75" customHeight="1">
      <c r="A651" s="2"/>
    </row>
    <row r="652" spans="1:1" ht="15.75" customHeight="1">
      <c r="A652" s="2"/>
    </row>
    <row r="653" spans="1:1" ht="15.75" customHeight="1">
      <c r="A653" s="2"/>
    </row>
    <row r="654" spans="1:1" ht="15.75" customHeight="1">
      <c r="A654" s="2"/>
    </row>
    <row r="655" spans="1:1" ht="15.75" customHeight="1">
      <c r="A655" s="2"/>
    </row>
    <row r="656" spans="1:1"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row r="1001" spans="1:1" ht="15.75" customHeight="1">
      <c r="A1001" s="2"/>
    </row>
    <row r="1002" spans="1:1" ht="15.75" customHeight="1">
      <c r="A1002" s="2"/>
    </row>
    <row r="1003" spans="1:1" ht="15.75" customHeight="1">
      <c r="A1003" s="2"/>
    </row>
    <row r="1004" spans="1:1" ht="15.75" customHeight="1">
      <c r="A1004" s="2"/>
    </row>
    <row r="1005" spans="1:1" ht="15.75" customHeight="1">
      <c r="A1005" s="2"/>
    </row>
    <row r="1006" spans="1:1" ht="15.75" customHeight="1">
      <c r="A1006" s="2"/>
    </row>
    <row r="1007" spans="1:1" ht="15.75" customHeight="1">
      <c r="A1007" s="2"/>
    </row>
    <row r="1008" spans="1:1" ht="15.75" customHeight="1">
      <c r="A1008" s="2"/>
    </row>
    <row r="1009" spans="1:1" ht="15.75" customHeight="1">
      <c r="A1009" s="2"/>
    </row>
    <row r="1010" spans="1:1" ht="15.75" customHeight="1">
      <c r="A1010" s="2"/>
    </row>
    <row r="1011" spans="1:1" ht="15.75" customHeight="1">
      <c r="A1011" s="2"/>
    </row>
    <row r="1012" spans="1:1" ht="15.75" customHeight="1">
      <c r="A1012" s="2"/>
    </row>
  </sheetData>
  <mergeCells count="53">
    <mergeCell ref="E111:S111"/>
    <mergeCell ref="B1:V1"/>
    <mergeCell ref="B2:V2"/>
    <mergeCell ref="B3:V26"/>
    <mergeCell ref="E27:G27"/>
    <mergeCell ref="H27:J27"/>
    <mergeCell ref="K27:M27"/>
    <mergeCell ref="N27:P27"/>
    <mergeCell ref="B27:D27"/>
    <mergeCell ref="T39:V39"/>
    <mergeCell ref="E39:G39"/>
    <mergeCell ref="H39:J39"/>
    <mergeCell ref="K39:M39"/>
    <mergeCell ref="N39:P39"/>
    <mergeCell ref="Q39:S39"/>
    <mergeCell ref="Q27:S27"/>
    <mergeCell ref="T27:V27"/>
    <mergeCell ref="B39:D39"/>
    <mergeCell ref="B51:D51"/>
    <mergeCell ref="E63:G63"/>
    <mergeCell ref="H63:J63"/>
    <mergeCell ref="K63:M63"/>
    <mergeCell ref="N63:P63"/>
    <mergeCell ref="B63:D63"/>
    <mergeCell ref="Q99:S99"/>
    <mergeCell ref="T99:V99"/>
    <mergeCell ref="E51:G51"/>
    <mergeCell ref="H51:J51"/>
    <mergeCell ref="K51:M51"/>
    <mergeCell ref="N51:P51"/>
    <mergeCell ref="Q51:S51"/>
    <mergeCell ref="T51:V51"/>
    <mergeCell ref="Q63:S63"/>
    <mergeCell ref="T63:V63"/>
    <mergeCell ref="E75:G75"/>
    <mergeCell ref="E87:G87"/>
    <mergeCell ref="N87:P87"/>
    <mergeCell ref="B87:D87"/>
    <mergeCell ref="B99:D99"/>
    <mergeCell ref="E99:G99"/>
    <mergeCell ref="H99:J99"/>
    <mergeCell ref="K99:M99"/>
    <mergeCell ref="N99:P99"/>
    <mergeCell ref="H87:J87"/>
    <mergeCell ref="K87:M87"/>
    <mergeCell ref="T75:V75"/>
    <mergeCell ref="Q87:S87"/>
    <mergeCell ref="T87:V87"/>
    <mergeCell ref="H75:J75"/>
    <mergeCell ref="K75:M75"/>
    <mergeCell ref="N75:P75"/>
    <mergeCell ref="Q75:S75"/>
    <mergeCell ref="B75:D75"/>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zoomScale="70" zoomScaleNormal="70" workbookViewId="0">
      <selection activeCell="W1" sqref="W1:W1048576"/>
    </sheetView>
  </sheetViews>
  <sheetFormatPr defaultColWidth="14.453125" defaultRowHeight="15" customHeight="1"/>
  <cols>
    <col min="1" max="1" width="18.0898437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3" ht="58.5" customHeight="1">
      <c r="A1" s="85"/>
      <c r="B1" s="73" t="s">
        <v>121</v>
      </c>
      <c r="C1" s="81"/>
      <c r="D1" s="81"/>
      <c r="E1" s="81"/>
      <c r="F1" s="81"/>
      <c r="G1" s="81"/>
      <c r="H1" s="81"/>
      <c r="I1" s="81"/>
      <c r="J1" s="81"/>
      <c r="K1" s="81"/>
      <c r="L1" s="81"/>
      <c r="M1" s="81"/>
      <c r="N1" s="81"/>
      <c r="O1" s="81"/>
      <c r="P1" s="81"/>
      <c r="Q1" s="81"/>
      <c r="R1" s="81"/>
      <c r="S1" s="81"/>
      <c r="T1" s="81"/>
      <c r="U1" s="81"/>
      <c r="V1" s="82"/>
      <c r="W1" s="84"/>
    </row>
    <row r="2" spans="1:23" ht="17.25" customHeight="1">
      <c r="A2" s="85"/>
      <c r="B2" s="78" t="s">
        <v>122</v>
      </c>
      <c r="C2" s="81"/>
      <c r="D2" s="82"/>
      <c r="E2" s="77">
        <f>DATE(
  VALUE(LEFT($B$2,4)),
  VALUE(MID($B$2,6,2)),
  VALUE(RIGHT($B$2,2))
)
+ INT((COLUMN()-COLUMN($B2))/3)</f>
        <v>46020</v>
      </c>
      <c r="F2" s="81"/>
      <c r="G2" s="82"/>
      <c r="H2" s="77">
        <f>DATE(
  VALUE(LEFT($B$2,4)),
  VALUE(MID($B$2,6,2)),
  VALUE(RIGHT($B$2,2))
)
+ INT((COLUMN()-COLUMN($B2))/3)</f>
        <v>46021</v>
      </c>
      <c r="I2" s="81"/>
      <c r="J2" s="82"/>
      <c r="K2" s="77">
        <f>DATE(
  VALUE(LEFT($B$2,4)),
  VALUE(MID($B$2,6,2)),
  VALUE(RIGHT($B$2,2))
)
+ INT((COLUMN()-COLUMN($B2))/3)</f>
        <v>46022</v>
      </c>
      <c r="L2" s="81"/>
      <c r="M2" s="82"/>
      <c r="N2" s="77">
        <f>DATE(
  VALUE(LEFT($B$2,4)),
  VALUE(MID($B$2,6,2)),
  VALUE(RIGHT($B$2,2))
)
+ INT((COLUMN()-COLUMN($B2))/3)</f>
        <v>46023</v>
      </c>
      <c r="O2" s="81"/>
      <c r="P2" s="82"/>
      <c r="Q2" s="77">
        <f>DATE(
  VALUE(LEFT($B$2,4)),
  VALUE(MID($B$2,6,2)),
  VALUE(RIGHT($B$2,2))
)
+ INT((COLUMN()-COLUMN($B2))/3)</f>
        <v>46024</v>
      </c>
      <c r="R2" s="81"/>
      <c r="S2" s="82"/>
      <c r="T2" s="77">
        <f>DATE(
  VALUE(LEFT($B$2,4)),
  VALUE(MID($B$2,6,2)),
  VALUE(RIGHT($B$2,2))
)
+ INT((COLUMN()-COLUMN($B2))/3)</f>
        <v>46025</v>
      </c>
      <c r="U2" s="81"/>
      <c r="V2" s="82"/>
      <c r="W2" s="86" t="s">
        <v>2</v>
      </c>
    </row>
    <row r="3" spans="1:23" ht="17.25" customHeight="1">
      <c r="A3" s="7" t="s">
        <v>21</v>
      </c>
      <c r="B3" s="8" t="s">
        <v>123</v>
      </c>
      <c r="C3" s="9" t="s">
        <v>124</v>
      </c>
      <c r="D3" s="10" t="s">
        <v>125</v>
      </c>
      <c r="E3" s="11" t="s">
        <v>123</v>
      </c>
      <c r="F3" s="12" t="s">
        <v>124</v>
      </c>
      <c r="G3" s="13" t="s">
        <v>125</v>
      </c>
      <c r="H3" s="11" t="s">
        <v>123</v>
      </c>
      <c r="I3" s="12" t="s">
        <v>124</v>
      </c>
      <c r="J3" s="13" t="s">
        <v>125</v>
      </c>
      <c r="K3" s="11" t="s">
        <v>123</v>
      </c>
      <c r="L3" s="12" t="s">
        <v>124</v>
      </c>
      <c r="M3" s="13" t="s">
        <v>125</v>
      </c>
      <c r="N3" s="11" t="s">
        <v>123</v>
      </c>
      <c r="O3" s="12" t="s">
        <v>124</v>
      </c>
      <c r="P3" s="13" t="s">
        <v>125</v>
      </c>
      <c r="Q3" s="11" t="s">
        <v>123</v>
      </c>
      <c r="R3" s="12" t="s">
        <v>124</v>
      </c>
      <c r="S3" s="13" t="s">
        <v>125</v>
      </c>
      <c r="T3" s="11" t="s">
        <v>123</v>
      </c>
      <c r="U3" s="12" t="s">
        <v>124</v>
      </c>
      <c r="V3" s="13" t="s">
        <v>125</v>
      </c>
      <c r="W3" s="90" t="s">
        <v>4</v>
      </c>
    </row>
    <row r="4" spans="1:23" ht="15" customHeight="1">
      <c r="A4" s="14" t="s">
        <v>126</v>
      </c>
      <c r="B4" s="117"/>
      <c r="C4" s="117"/>
      <c r="D4" s="15" t="s">
        <v>127</v>
      </c>
      <c r="E4" s="16" t="s">
        <v>128</v>
      </c>
      <c r="F4" s="111"/>
      <c r="G4" s="17">
        <f>SUM(D11+F4)</f>
        <v>1</v>
      </c>
      <c r="H4" s="117"/>
      <c r="I4" s="117"/>
      <c r="J4" s="15">
        <f>G11+I4</f>
        <v>1</v>
      </c>
      <c r="K4" s="112"/>
      <c r="L4" s="111"/>
      <c r="M4" s="18">
        <f>J11+L4</f>
        <v>1</v>
      </c>
      <c r="N4" s="118"/>
      <c r="O4" s="117"/>
      <c r="P4" s="15">
        <f>M11+O4</f>
        <v>1</v>
      </c>
      <c r="Q4" s="112"/>
      <c r="R4" s="111"/>
      <c r="S4" s="18">
        <f>P11+R4</f>
        <v>-724</v>
      </c>
      <c r="T4" s="118"/>
      <c r="U4" s="117"/>
      <c r="V4" s="15">
        <f>S11+U4</f>
        <v>-724</v>
      </c>
      <c r="W4" s="95"/>
    </row>
    <row r="5" spans="1:23" ht="15" customHeight="1">
      <c r="A5" s="91"/>
      <c r="B5" s="117"/>
      <c r="C5" s="117"/>
      <c r="D5" s="19" t="s">
        <v>129</v>
      </c>
      <c r="E5" s="16" t="s">
        <v>130</v>
      </c>
      <c r="F5" s="107"/>
      <c r="G5" s="17">
        <f t="shared" ref="G5:G11" si="0">SUM(G4+F5)</f>
        <v>1</v>
      </c>
      <c r="H5" s="117"/>
      <c r="I5" s="117"/>
      <c r="J5" s="19">
        <f t="shared" ref="J5:J11" si="1">J4+I5</f>
        <v>1</v>
      </c>
      <c r="K5" s="106"/>
      <c r="L5" s="107"/>
      <c r="M5" s="20">
        <f t="shared" ref="M5:M11" si="2">M4+L5</f>
        <v>1</v>
      </c>
      <c r="N5" s="21" t="s">
        <v>30</v>
      </c>
      <c r="O5" s="22">
        <v>-725</v>
      </c>
      <c r="P5" s="19">
        <f t="shared" ref="P5:P11" si="3">P4+O5</f>
        <v>-724</v>
      </c>
      <c r="Q5" s="106"/>
      <c r="R5" s="107"/>
      <c r="S5" s="23">
        <f t="shared" ref="S5:S11" si="4">S4+R5</f>
        <v>-724</v>
      </c>
      <c r="T5" s="118"/>
      <c r="U5" s="117"/>
      <c r="V5" s="19">
        <f t="shared" ref="V5:V11" si="5">V4+U5</f>
        <v>-724</v>
      </c>
      <c r="W5" s="96" t="s">
        <v>5</v>
      </c>
    </row>
    <row r="6" spans="1:23" ht="15" customHeight="1">
      <c r="A6" s="91"/>
      <c r="B6" s="24" t="s">
        <v>131</v>
      </c>
      <c r="C6" s="161"/>
      <c r="D6" s="25" t="s">
        <v>129</v>
      </c>
      <c r="E6" s="16" t="s">
        <v>132</v>
      </c>
      <c r="F6" s="107"/>
      <c r="G6" s="17">
        <f t="shared" si="0"/>
        <v>1</v>
      </c>
      <c r="H6" s="117"/>
      <c r="I6" s="117"/>
      <c r="J6" s="19">
        <f t="shared" si="1"/>
        <v>1</v>
      </c>
      <c r="K6" s="106"/>
      <c r="L6" s="107"/>
      <c r="M6" s="26">
        <f t="shared" si="2"/>
        <v>1</v>
      </c>
      <c r="N6" s="118"/>
      <c r="O6" s="117"/>
      <c r="P6" s="19">
        <f t="shared" si="3"/>
        <v>-724</v>
      </c>
      <c r="Q6" s="106"/>
      <c r="R6" s="107"/>
      <c r="S6" s="23">
        <f t="shared" si="4"/>
        <v>-724</v>
      </c>
      <c r="T6" s="118"/>
      <c r="U6" s="117"/>
      <c r="V6" s="19">
        <f t="shared" si="5"/>
        <v>-724</v>
      </c>
      <c r="W6" s="96" t="s">
        <v>6</v>
      </c>
    </row>
    <row r="7" spans="1:23" ht="15" customHeight="1">
      <c r="A7" s="91"/>
      <c r="B7" s="27" t="s">
        <v>125</v>
      </c>
      <c r="C7" s="161"/>
      <c r="D7" s="25">
        <v>1</v>
      </c>
      <c r="E7" s="106"/>
      <c r="F7" s="107"/>
      <c r="G7" s="17">
        <f t="shared" si="0"/>
        <v>1</v>
      </c>
      <c r="H7" s="117"/>
      <c r="I7" s="117"/>
      <c r="J7" s="19">
        <f t="shared" si="1"/>
        <v>1</v>
      </c>
      <c r="K7" s="106"/>
      <c r="L7" s="107"/>
      <c r="M7" s="26">
        <f t="shared" si="2"/>
        <v>1</v>
      </c>
      <c r="N7" s="118"/>
      <c r="O7" s="117"/>
      <c r="P7" s="19">
        <f t="shared" si="3"/>
        <v>-724</v>
      </c>
      <c r="Q7" s="106"/>
      <c r="R7" s="107"/>
      <c r="S7" s="23">
        <f t="shared" si="4"/>
        <v>-724</v>
      </c>
      <c r="T7" s="118"/>
      <c r="U7" s="117"/>
      <c r="V7" s="19">
        <f t="shared" si="5"/>
        <v>-724</v>
      </c>
      <c r="W7" s="96" t="s">
        <v>7</v>
      </c>
    </row>
    <row r="8" spans="1:23" ht="15" customHeight="1">
      <c r="A8" s="91"/>
      <c r="B8" s="118"/>
      <c r="C8" s="117"/>
      <c r="D8" s="19">
        <f t="shared" ref="D8:D11" si="6">D7+C8</f>
        <v>1</v>
      </c>
      <c r="E8" s="28" t="s">
        <v>133</v>
      </c>
      <c r="F8" s="107"/>
      <c r="G8" s="17">
        <f t="shared" si="0"/>
        <v>1</v>
      </c>
      <c r="H8" s="117"/>
      <c r="I8" s="117"/>
      <c r="J8" s="19">
        <f t="shared" si="1"/>
        <v>1</v>
      </c>
      <c r="K8" s="106"/>
      <c r="L8" s="107"/>
      <c r="M8" s="23">
        <f t="shared" si="2"/>
        <v>1</v>
      </c>
      <c r="N8" s="118"/>
      <c r="O8" s="117"/>
      <c r="P8" s="19">
        <f t="shared" si="3"/>
        <v>-724</v>
      </c>
      <c r="Q8" s="106"/>
      <c r="R8" s="107"/>
      <c r="S8" s="23">
        <f t="shared" si="4"/>
        <v>-724</v>
      </c>
      <c r="T8" s="118"/>
      <c r="U8" s="117"/>
      <c r="V8" s="19">
        <f t="shared" si="5"/>
        <v>-724</v>
      </c>
      <c r="W8" s="96" t="s">
        <v>8</v>
      </c>
    </row>
    <row r="9" spans="1:23" ht="15" customHeight="1">
      <c r="A9" s="91"/>
      <c r="B9" s="118"/>
      <c r="C9" s="117"/>
      <c r="D9" s="19">
        <f t="shared" si="6"/>
        <v>1</v>
      </c>
      <c r="E9" s="28" t="s">
        <v>134</v>
      </c>
      <c r="F9" s="107"/>
      <c r="G9" s="17">
        <f t="shared" si="0"/>
        <v>1</v>
      </c>
      <c r="H9" s="118"/>
      <c r="I9" s="117"/>
      <c r="J9" s="19">
        <f t="shared" si="1"/>
        <v>1</v>
      </c>
      <c r="K9" s="106"/>
      <c r="L9" s="107"/>
      <c r="M9" s="23">
        <f t="shared" si="2"/>
        <v>1</v>
      </c>
      <c r="N9" s="118"/>
      <c r="O9" s="117"/>
      <c r="P9" s="19">
        <f t="shared" si="3"/>
        <v>-724</v>
      </c>
      <c r="Q9" s="106"/>
      <c r="R9" s="107"/>
      <c r="S9" s="23">
        <f t="shared" si="4"/>
        <v>-724</v>
      </c>
      <c r="T9" s="118"/>
      <c r="U9" s="117"/>
      <c r="V9" s="19">
        <f t="shared" si="5"/>
        <v>-724</v>
      </c>
      <c r="W9" s="96" t="s">
        <v>9</v>
      </c>
    </row>
    <row r="10" spans="1:23" ht="15" customHeight="1">
      <c r="A10" s="91"/>
      <c r="B10" s="118"/>
      <c r="C10" s="117"/>
      <c r="D10" s="19">
        <f t="shared" si="6"/>
        <v>1</v>
      </c>
      <c r="E10" s="28" t="s">
        <v>135</v>
      </c>
      <c r="F10" s="107"/>
      <c r="G10" s="17">
        <f t="shared" si="0"/>
        <v>1</v>
      </c>
      <c r="H10" s="118"/>
      <c r="I10" s="117"/>
      <c r="J10" s="19">
        <f t="shared" si="1"/>
        <v>1</v>
      </c>
      <c r="K10" s="106"/>
      <c r="L10" s="107"/>
      <c r="M10" s="23">
        <f t="shared" si="2"/>
        <v>1</v>
      </c>
      <c r="N10" s="118"/>
      <c r="O10" s="117"/>
      <c r="P10" s="19">
        <f t="shared" si="3"/>
        <v>-724</v>
      </c>
      <c r="Q10" s="106"/>
      <c r="R10" s="107"/>
      <c r="S10" s="23">
        <f t="shared" si="4"/>
        <v>-724</v>
      </c>
      <c r="T10" s="118"/>
      <c r="U10" s="117"/>
      <c r="V10" s="19">
        <f t="shared" si="5"/>
        <v>-724</v>
      </c>
      <c r="W10" s="96" t="s">
        <v>10</v>
      </c>
    </row>
    <row r="11" spans="1:23" ht="15" customHeight="1">
      <c r="A11" s="91"/>
      <c r="B11" s="154"/>
      <c r="C11" s="128"/>
      <c r="D11" s="29">
        <f t="shared" si="6"/>
        <v>1</v>
      </c>
      <c r="E11" s="122"/>
      <c r="F11" s="123"/>
      <c r="G11" s="30">
        <f t="shared" si="0"/>
        <v>1</v>
      </c>
      <c r="H11" s="154"/>
      <c r="I11" s="128"/>
      <c r="J11" s="29">
        <f t="shared" si="1"/>
        <v>1</v>
      </c>
      <c r="K11" s="122"/>
      <c r="L11" s="123"/>
      <c r="M11" s="31">
        <f t="shared" si="2"/>
        <v>1</v>
      </c>
      <c r="N11" s="154"/>
      <c r="O11" s="128"/>
      <c r="P11" s="29">
        <f t="shared" si="3"/>
        <v>-724</v>
      </c>
      <c r="Q11" s="122"/>
      <c r="R11" s="123"/>
      <c r="S11" s="31">
        <f t="shared" si="4"/>
        <v>-724</v>
      </c>
      <c r="T11" s="154"/>
      <c r="U11" s="128"/>
      <c r="V11" s="29">
        <f t="shared" si="5"/>
        <v>-724</v>
      </c>
      <c r="W11" s="32" t="s">
        <v>11</v>
      </c>
    </row>
    <row r="12" spans="1:23" ht="17.25" customHeight="1">
      <c r="A12" s="162"/>
      <c r="B12" s="77">
        <f>DATE(
  VALUE(LEFT($B$2,4)),
  VALUE(MID($B$2,6,2)),
  VALUE(RIGHT($B$2,2))
) + 7</f>
        <v>46026</v>
      </c>
      <c r="C12" s="81"/>
      <c r="D12" s="82"/>
      <c r="E12" s="77">
        <f>DATE(VALUE(LEFT($B$2,4)),VALUE(MID($B$2,6,2)),VALUE(RIGHT($B$2,2)))
+ 7
+ INT((COLUMN()-COLUMN($B12))/3)</f>
        <v>46027</v>
      </c>
      <c r="F12" s="81"/>
      <c r="G12" s="82"/>
      <c r="H12" s="77">
        <f>DATE(VALUE(LEFT($B$2,4)),VALUE(MID($B$2,6,2)),VALUE(RIGHT($B$2,2)))
+ 7
+ INT((COLUMN()-COLUMN($B12))/3)</f>
        <v>46028</v>
      </c>
      <c r="I12" s="81"/>
      <c r="J12" s="82"/>
      <c r="K12" s="77">
        <f>DATE(VALUE(LEFT($B$2,4)),VALUE(MID($B$2,6,2)),VALUE(RIGHT($B$2,2)))
+ 7
+ INT((COLUMN()-COLUMN($B12))/3)</f>
        <v>46029</v>
      </c>
      <c r="L12" s="81"/>
      <c r="M12" s="82"/>
      <c r="N12" s="77">
        <f>DATE(VALUE(LEFT($B$2,4)),VALUE(MID($B$2,6,2)),VALUE(RIGHT($B$2,2)))
+ 7
+ INT((COLUMN()-COLUMN($B12))/3)</f>
        <v>46030</v>
      </c>
      <c r="O12" s="81"/>
      <c r="P12" s="82"/>
      <c r="Q12" s="77">
        <f>DATE(VALUE(LEFT($B$2,4)),VALUE(MID($B$2,6,2)),VALUE(RIGHT($B$2,2)))
+ 7
+ INT((COLUMN()-COLUMN($B12))/3)</f>
        <v>46031</v>
      </c>
      <c r="R12" s="81"/>
      <c r="S12" s="82"/>
      <c r="T12" s="77">
        <f>DATE(VALUE(LEFT($B$2,4)),VALUE(MID($B$2,6,2)),VALUE(RIGHT($B$2,2)))
+ 7
+ INT((COLUMN()-COLUMN($B12))/3)</f>
        <v>46032</v>
      </c>
      <c r="U12" s="81"/>
      <c r="V12" s="82"/>
      <c r="W12" s="33" t="s">
        <v>12</v>
      </c>
    </row>
    <row r="13" spans="1:23" ht="15" customHeight="1">
      <c r="A13" s="14" t="s">
        <v>136</v>
      </c>
      <c r="B13" s="34" t="s">
        <v>74</v>
      </c>
      <c r="C13" s="18">
        <v>-75</v>
      </c>
      <c r="D13" s="17">
        <f>V11+C13</f>
        <v>-799</v>
      </c>
      <c r="E13" s="109"/>
      <c r="F13" s="109"/>
      <c r="G13" s="35">
        <f>D22+F13</f>
        <v>-889</v>
      </c>
      <c r="H13" s="112"/>
      <c r="I13" s="111"/>
      <c r="J13" s="17">
        <f>G22+I13</f>
        <v>-889</v>
      </c>
      <c r="K13" s="113"/>
      <c r="L13" s="109"/>
      <c r="M13" s="35">
        <f>J22+L13</f>
        <v>-889</v>
      </c>
      <c r="N13" s="112"/>
      <c r="O13" s="111"/>
      <c r="P13" s="17">
        <f>M22+O13</f>
        <v>-889</v>
      </c>
      <c r="Q13" s="113"/>
      <c r="R13" s="109"/>
      <c r="S13" s="35">
        <f>P22+R13</f>
        <v>-889</v>
      </c>
      <c r="T13" s="112"/>
      <c r="U13" s="111"/>
      <c r="V13" s="36">
        <f>S22+U13</f>
        <v>-889</v>
      </c>
      <c r="W13" s="98" t="s">
        <v>13</v>
      </c>
    </row>
    <row r="14" spans="1:23" ht="15" customHeight="1">
      <c r="A14" s="91"/>
      <c r="B14" s="37" t="s">
        <v>76</v>
      </c>
      <c r="C14" s="23">
        <v>-25</v>
      </c>
      <c r="D14" s="26">
        <f t="shared" ref="D14:D22" si="7">D13+C14</f>
        <v>-824</v>
      </c>
      <c r="E14" s="117"/>
      <c r="F14" s="117"/>
      <c r="G14" s="38">
        <f t="shared" ref="G14:G22" si="8">G13+F14</f>
        <v>-889</v>
      </c>
      <c r="H14" s="106"/>
      <c r="I14" s="107"/>
      <c r="J14" s="26">
        <f t="shared" ref="J14:J22" si="9">J13+I14</f>
        <v>-889</v>
      </c>
      <c r="K14" s="118"/>
      <c r="L14" s="117"/>
      <c r="M14" s="38">
        <f t="shared" ref="M14:M22" si="10">M13+L14</f>
        <v>-889</v>
      </c>
      <c r="N14" s="106"/>
      <c r="O14" s="107"/>
      <c r="P14" s="26">
        <f t="shared" ref="P14:P22" si="11">P13+O14</f>
        <v>-889</v>
      </c>
      <c r="Q14" s="163"/>
      <c r="R14" s="164"/>
      <c r="S14" s="38">
        <f t="shared" ref="S14:S22" si="12">S13+R14</f>
        <v>-889</v>
      </c>
      <c r="T14" s="106"/>
      <c r="U14" s="107"/>
      <c r="V14" s="26">
        <f t="shared" ref="V14:V22" si="13">V13+U14</f>
        <v>-889</v>
      </c>
      <c r="W14" s="99"/>
    </row>
    <row r="15" spans="1:23" ht="15" customHeight="1">
      <c r="A15" s="91"/>
      <c r="B15" s="37" t="s">
        <v>79</v>
      </c>
      <c r="C15" s="23">
        <v>-65</v>
      </c>
      <c r="D15" s="26">
        <f t="shared" si="7"/>
        <v>-889</v>
      </c>
      <c r="E15" s="118"/>
      <c r="F15" s="117"/>
      <c r="G15" s="38">
        <f t="shared" si="8"/>
        <v>-889</v>
      </c>
      <c r="H15" s="106"/>
      <c r="I15" s="107"/>
      <c r="J15" s="26">
        <f t="shared" si="9"/>
        <v>-889</v>
      </c>
      <c r="K15" s="118"/>
      <c r="L15" s="117"/>
      <c r="M15" s="38">
        <f t="shared" si="10"/>
        <v>-889</v>
      </c>
      <c r="N15" s="106"/>
      <c r="O15" s="107"/>
      <c r="P15" s="26">
        <f t="shared" si="11"/>
        <v>-889</v>
      </c>
      <c r="Q15" s="163"/>
      <c r="R15" s="164"/>
      <c r="S15" s="38">
        <f t="shared" si="12"/>
        <v>-889</v>
      </c>
      <c r="T15" s="106"/>
      <c r="U15" s="107"/>
      <c r="V15" s="26">
        <f t="shared" si="13"/>
        <v>-889</v>
      </c>
      <c r="W15" s="100" t="s">
        <v>14</v>
      </c>
    </row>
    <row r="16" spans="1:23" ht="15" customHeight="1">
      <c r="A16" s="91"/>
      <c r="B16" s="106"/>
      <c r="C16" s="107"/>
      <c r="D16" s="26">
        <f t="shared" si="7"/>
        <v>-889</v>
      </c>
      <c r="E16" s="118"/>
      <c r="F16" s="117"/>
      <c r="G16" s="38">
        <f t="shared" si="8"/>
        <v>-889</v>
      </c>
      <c r="H16" s="106"/>
      <c r="I16" s="107"/>
      <c r="J16" s="26">
        <f t="shared" si="9"/>
        <v>-889</v>
      </c>
      <c r="K16" s="118"/>
      <c r="L16" s="117"/>
      <c r="M16" s="38">
        <f t="shared" si="10"/>
        <v>-889</v>
      </c>
      <c r="N16" s="106"/>
      <c r="O16" s="107"/>
      <c r="P16" s="26">
        <f t="shared" si="11"/>
        <v>-889</v>
      </c>
      <c r="Q16" s="163"/>
      <c r="R16" s="164"/>
      <c r="S16" s="38">
        <f t="shared" si="12"/>
        <v>-889</v>
      </c>
      <c r="T16" s="106"/>
      <c r="U16" s="107"/>
      <c r="V16" s="26">
        <f t="shared" si="13"/>
        <v>-889</v>
      </c>
      <c r="W16" s="101" t="s">
        <v>15</v>
      </c>
    </row>
    <row r="17" spans="1:23" ht="15" customHeight="1">
      <c r="A17" s="91"/>
      <c r="B17" s="106"/>
      <c r="C17" s="107"/>
      <c r="D17" s="26">
        <f t="shared" si="7"/>
        <v>-889</v>
      </c>
      <c r="E17" s="118"/>
      <c r="F17" s="117"/>
      <c r="G17" s="38">
        <f t="shared" si="8"/>
        <v>-889</v>
      </c>
      <c r="H17" s="106"/>
      <c r="I17" s="107"/>
      <c r="J17" s="26">
        <f t="shared" si="9"/>
        <v>-889</v>
      </c>
      <c r="K17" s="118"/>
      <c r="L17" s="117"/>
      <c r="M17" s="38">
        <f t="shared" si="10"/>
        <v>-889</v>
      </c>
      <c r="N17" s="106"/>
      <c r="O17" s="107"/>
      <c r="P17" s="26">
        <f t="shared" si="11"/>
        <v>-889</v>
      </c>
      <c r="Q17" s="163"/>
      <c r="R17" s="164"/>
      <c r="S17" s="38">
        <f t="shared" si="12"/>
        <v>-889</v>
      </c>
      <c r="T17" s="106"/>
      <c r="U17" s="107"/>
      <c r="V17" s="26">
        <f t="shared" si="13"/>
        <v>-889</v>
      </c>
      <c r="W17" s="101" t="s">
        <v>16</v>
      </c>
    </row>
    <row r="18" spans="1:23" ht="15" customHeight="1">
      <c r="A18" s="91"/>
      <c r="B18" s="106"/>
      <c r="C18" s="107"/>
      <c r="D18" s="26">
        <f t="shared" si="7"/>
        <v>-889</v>
      </c>
      <c r="E18" s="118"/>
      <c r="F18" s="117"/>
      <c r="G18" s="38">
        <f t="shared" si="8"/>
        <v>-889</v>
      </c>
      <c r="H18" s="106"/>
      <c r="I18" s="107"/>
      <c r="J18" s="26">
        <f t="shared" si="9"/>
        <v>-889</v>
      </c>
      <c r="K18" s="118"/>
      <c r="L18" s="117"/>
      <c r="M18" s="38">
        <f t="shared" si="10"/>
        <v>-889</v>
      </c>
      <c r="N18" s="106"/>
      <c r="O18" s="107"/>
      <c r="P18" s="26">
        <f t="shared" si="11"/>
        <v>-889</v>
      </c>
      <c r="Q18" s="163"/>
      <c r="R18" s="164"/>
      <c r="S18" s="38">
        <f t="shared" si="12"/>
        <v>-889</v>
      </c>
      <c r="T18" s="106"/>
      <c r="U18" s="107"/>
      <c r="V18" s="26">
        <f t="shared" si="13"/>
        <v>-889</v>
      </c>
      <c r="W18" s="101" t="s">
        <v>17</v>
      </c>
    </row>
    <row r="19" spans="1:23" ht="15" customHeight="1">
      <c r="A19" s="91"/>
      <c r="B19" s="106"/>
      <c r="C19" s="107"/>
      <c r="D19" s="26">
        <f t="shared" si="7"/>
        <v>-889</v>
      </c>
      <c r="E19" s="118"/>
      <c r="F19" s="117"/>
      <c r="G19" s="38">
        <f t="shared" si="8"/>
        <v>-889</v>
      </c>
      <c r="H19" s="106"/>
      <c r="I19" s="107"/>
      <c r="J19" s="26">
        <f t="shared" si="9"/>
        <v>-889</v>
      </c>
      <c r="K19" s="118"/>
      <c r="L19" s="117"/>
      <c r="M19" s="38">
        <f t="shared" si="10"/>
        <v>-889</v>
      </c>
      <c r="N19" s="106"/>
      <c r="O19" s="107"/>
      <c r="P19" s="26">
        <f t="shared" si="11"/>
        <v>-889</v>
      </c>
      <c r="Q19" s="163"/>
      <c r="R19" s="164"/>
      <c r="S19" s="38">
        <f t="shared" si="12"/>
        <v>-889</v>
      </c>
      <c r="T19" s="106"/>
      <c r="U19" s="107"/>
      <c r="V19" s="26">
        <f t="shared" si="13"/>
        <v>-889</v>
      </c>
      <c r="W19" s="99"/>
    </row>
    <row r="20" spans="1:23" ht="15" customHeight="1">
      <c r="A20" s="91"/>
      <c r="B20" s="106"/>
      <c r="C20" s="107"/>
      <c r="D20" s="26">
        <f t="shared" si="7"/>
        <v>-889</v>
      </c>
      <c r="E20" s="165"/>
      <c r="F20" s="117"/>
      <c r="G20" s="38">
        <f t="shared" si="8"/>
        <v>-889</v>
      </c>
      <c r="H20" s="106"/>
      <c r="I20" s="107"/>
      <c r="J20" s="26">
        <f t="shared" si="9"/>
        <v>-889</v>
      </c>
      <c r="K20" s="118"/>
      <c r="L20" s="117"/>
      <c r="M20" s="38">
        <f t="shared" si="10"/>
        <v>-889</v>
      </c>
      <c r="N20" s="106"/>
      <c r="O20" s="107"/>
      <c r="P20" s="26">
        <f t="shared" si="11"/>
        <v>-889</v>
      </c>
      <c r="Q20" s="118"/>
      <c r="R20" s="117"/>
      <c r="S20" s="38">
        <f t="shared" si="12"/>
        <v>-889</v>
      </c>
      <c r="T20" s="106"/>
      <c r="U20" s="107"/>
      <c r="V20" s="26">
        <f t="shared" si="13"/>
        <v>-889</v>
      </c>
      <c r="W20" s="100" t="s">
        <v>18</v>
      </c>
    </row>
    <row r="21" spans="1:23" ht="15" customHeight="1">
      <c r="A21" s="91"/>
      <c r="B21" s="106"/>
      <c r="C21" s="107"/>
      <c r="D21" s="26">
        <f t="shared" si="7"/>
        <v>-889</v>
      </c>
      <c r="E21" s="118"/>
      <c r="F21" s="117"/>
      <c r="G21" s="38">
        <f t="shared" si="8"/>
        <v>-889</v>
      </c>
      <c r="H21" s="106"/>
      <c r="I21" s="107"/>
      <c r="J21" s="26">
        <f t="shared" si="9"/>
        <v>-889</v>
      </c>
      <c r="K21" s="118"/>
      <c r="L21" s="117"/>
      <c r="M21" s="38">
        <f t="shared" si="10"/>
        <v>-889</v>
      </c>
      <c r="N21" s="106"/>
      <c r="O21" s="107"/>
      <c r="P21" s="26">
        <f t="shared" si="11"/>
        <v>-889</v>
      </c>
      <c r="Q21" s="118"/>
      <c r="R21" s="117"/>
      <c r="S21" s="38">
        <f t="shared" si="12"/>
        <v>-889</v>
      </c>
      <c r="T21" s="106"/>
      <c r="U21" s="107"/>
      <c r="V21" s="26">
        <f t="shared" si="13"/>
        <v>-889</v>
      </c>
      <c r="W21" s="101" t="s">
        <v>19</v>
      </c>
    </row>
    <row r="22" spans="1:23" ht="15" customHeight="1">
      <c r="A22" s="91"/>
      <c r="B22" s="166"/>
      <c r="C22" s="167"/>
      <c r="D22" s="39">
        <f t="shared" si="7"/>
        <v>-889</v>
      </c>
      <c r="E22" s="154"/>
      <c r="F22" s="128"/>
      <c r="G22" s="40">
        <f t="shared" si="8"/>
        <v>-889</v>
      </c>
      <c r="H22" s="122"/>
      <c r="I22" s="123"/>
      <c r="J22" s="39">
        <f t="shared" si="9"/>
        <v>-889</v>
      </c>
      <c r="K22" s="154"/>
      <c r="L22" s="128"/>
      <c r="M22" s="40">
        <f t="shared" si="10"/>
        <v>-889</v>
      </c>
      <c r="N22" s="122"/>
      <c r="O22" s="123"/>
      <c r="P22" s="39">
        <f t="shared" si="11"/>
        <v>-889</v>
      </c>
      <c r="Q22" s="154"/>
      <c r="R22" s="128"/>
      <c r="S22" s="40">
        <f t="shared" si="12"/>
        <v>-889</v>
      </c>
      <c r="T22" s="122"/>
      <c r="U22" s="123"/>
      <c r="V22" s="39">
        <f t="shared" si="13"/>
        <v>-889</v>
      </c>
      <c r="W22" s="99"/>
    </row>
    <row r="23" spans="1:23" ht="17.25" customHeight="1">
      <c r="A23" s="162"/>
      <c r="B23" s="77">
        <f ca="1">IFERROR(__xludf.DUMMYFUNCTION("DATE(VALUE(LEFT($B$2,4)),VALUE(MID($B$2,6,2)),VALUE(RIGHT($B$2,2)))
+ (VALUE(REGEXEXTRACT(INDIRECT(""A""&amp;ROW()+1),""\d+""))-1)*7
+ INT((COLUMN()-COLUMN($B23))/3)
"),46033)</f>
        <v>46033</v>
      </c>
      <c r="C23" s="81"/>
      <c r="D23" s="82"/>
      <c r="E23" s="77">
        <f ca="1">IFERROR(__xludf.DUMMYFUNCTION("DATE(VALUE(LEFT($B$2,4)),VALUE(MID($B$2,6,2)),VALUE(RIGHT($B$2,2)))
+ (VALUE(REGEXEXTRACT(INDIRECT(""A""&amp;ROW()+1),""\d+""))-1)*7
+ INT((COLUMN()-COLUMN($B23))/3)
"),46034)</f>
        <v>46034</v>
      </c>
      <c r="F23" s="81"/>
      <c r="G23" s="82"/>
      <c r="H23" s="77">
        <f ca="1">IFERROR(__xludf.DUMMYFUNCTION("DATE(VALUE(LEFT($B$2,4)),VALUE(MID($B$2,6,2)),VALUE(RIGHT($B$2,2)))
+ (VALUE(REGEXEXTRACT(INDIRECT(""A""&amp;ROW()+1),""\d+""))-1)*7
+ INT((COLUMN()-COLUMN($B23))/3)
"),46035)</f>
        <v>46035</v>
      </c>
      <c r="I23" s="81"/>
      <c r="J23" s="82"/>
      <c r="K23" s="77">
        <f ca="1">IFERROR(__xludf.DUMMYFUNCTION("DATE(VALUE(LEFT($B$2,4)),VALUE(MID($B$2,6,2)),VALUE(RIGHT($B$2,2)))
+ (VALUE(REGEXEXTRACT(INDIRECT(""A""&amp;ROW()+1),""\d+""))-1)*7
+ INT((COLUMN()-COLUMN($B23))/3)
"),46036)</f>
        <v>46036</v>
      </c>
      <c r="L23" s="81"/>
      <c r="M23" s="82"/>
      <c r="N23" s="77">
        <f ca="1">IFERROR(__xludf.DUMMYFUNCTION("DATE(VALUE(LEFT($B$2,4)),VALUE(MID($B$2,6,2)),VALUE(RIGHT($B$2,2)))
+ (VALUE(REGEXEXTRACT(INDIRECT(""A""&amp;ROW()+1),""\d+""))-1)*7
+ INT((COLUMN()-COLUMN($B23))/3)
"),46037)</f>
        <v>46037</v>
      </c>
      <c r="O23" s="81"/>
      <c r="P23" s="82"/>
      <c r="Q23" s="77">
        <f ca="1">IFERROR(__xludf.DUMMYFUNCTION("DATE(VALUE(LEFT($B$2,4)),VALUE(MID($B$2,6,2)),VALUE(RIGHT($B$2,2)))
+ (VALUE(REGEXEXTRACT(INDIRECT(""A""&amp;ROW()+1),""\d+""))-1)*7
+ INT((COLUMN()-COLUMN($B23))/3)
"),46038)</f>
        <v>46038</v>
      </c>
      <c r="R23" s="81"/>
      <c r="S23" s="82"/>
      <c r="T23" s="77">
        <f ca="1">IFERROR(__xludf.DUMMYFUNCTION("DATE(VALUE(LEFT($B$2,4)),VALUE(MID($B$2,6,2)),VALUE(RIGHT($B$2,2)))
+ (VALUE(REGEXEXTRACT(INDIRECT(""A""&amp;ROW()+1),""\d+""))-1)*7
+ INT((COLUMN()-COLUMN($B23))/3)
"),46039)</f>
        <v>46039</v>
      </c>
      <c r="U23" s="81"/>
      <c r="V23" s="82"/>
      <c r="W23" s="41" t="s">
        <v>20</v>
      </c>
    </row>
    <row r="24" spans="1:23" ht="15" customHeight="1">
      <c r="A24" s="14" t="s">
        <v>137</v>
      </c>
      <c r="B24" s="35" t="s">
        <v>74</v>
      </c>
      <c r="C24" s="35">
        <v>-75</v>
      </c>
      <c r="D24" s="42">
        <f>V22+C24</f>
        <v>-964</v>
      </c>
      <c r="E24" s="112"/>
      <c r="F24" s="111"/>
      <c r="G24" s="18">
        <f>D33+F24</f>
        <v>-1129</v>
      </c>
      <c r="H24" s="113"/>
      <c r="I24" s="109"/>
      <c r="J24" s="42">
        <f>G33+I24</f>
        <v>-1129</v>
      </c>
      <c r="K24" s="112"/>
      <c r="L24" s="111"/>
      <c r="M24" s="18">
        <f>J33+L24</f>
        <v>-1129</v>
      </c>
      <c r="N24" s="113"/>
      <c r="O24" s="109"/>
      <c r="P24" s="35">
        <f>M33+O24</f>
        <v>-1129</v>
      </c>
      <c r="Q24" s="112"/>
      <c r="R24" s="111"/>
      <c r="S24" s="18">
        <f>P33+F128</f>
        <v>-1129</v>
      </c>
      <c r="T24" s="113"/>
      <c r="U24" s="109"/>
      <c r="V24" s="42">
        <f>S33+U24</f>
        <v>-1129</v>
      </c>
      <c r="W24" s="43">
        <v>500</v>
      </c>
    </row>
    <row r="25" spans="1:23" ht="15" customHeight="1">
      <c r="A25" s="91"/>
      <c r="B25" s="38" t="s">
        <v>76</v>
      </c>
      <c r="C25" s="38">
        <v>-25</v>
      </c>
      <c r="D25" s="19">
        <f t="shared" ref="D25:D33" si="14">D24+C25</f>
        <v>-989</v>
      </c>
      <c r="E25" s="106"/>
      <c r="F25" s="107"/>
      <c r="G25" s="23">
        <f t="shared" ref="G25:G33" si="15">G24+F25</f>
        <v>-1129</v>
      </c>
      <c r="H25" s="118"/>
      <c r="I25" s="117"/>
      <c r="J25" s="19">
        <f t="shared" ref="J25:J33" si="16">J24+I25</f>
        <v>-1129</v>
      </c>
      <c r="K25" s="106"/>
      <c r="L25" s="107"/>
      <c r="M25" s="26">
        <f t="shared" ref="M25:M33" si="17">M24+L25</f>
        <v>-1129</v>
      </c>
      <c r="N25" s="118"/>
      <c r="O25" s="117"/>
      <c r="P25" s="38">
        <f t="shared" ref="P25:P33" si="18">P24+O25</f>
        <v>-1129</v>
      </c>
      <c r="Q25" s="106"/>
      <c r="R25" s="107"/>
      <c r="S25" s="26">
        <f t="shared" ref="S25:S33" si="19">S24+R25</f>
        <v>-1129</v>
      </c>
      <c r="T25" s="118"/>
      <c r="U25" s="117"/>
      <c r="V25" s="19">
        <f t="shared" ref="V25:V33" si="20">V24+U25</f>
        <v>-1129</v>
      </c>
      <c r="W25" s="95"/>
    </row>
    <row r="26" spans="1:23" ht="15" customHeight="1">
      <c r="A26" s="91"/>
      <c r="B26" s="38" t="s">
        <v>90</v>
      </c>
      <c r="C26" s="38">
        <v>-65</v>
      </c>
      <c r="D26" s="19">
        <f t="shared" si="14"/>
        <v>-1054</v>
      </c>
      <c r="E26" s="106"/>
      <c r="F26" s="107"/>
      <c r="G26" s="23">
        <f t="shared" si="15"/>
        <v>-1129</v>
      </c>
      <c r="H26" s="118"/>
      <c r="I26" s="117"/>
      <c r="J26" s="19">
        <f t="shared" si="16"/>
        <v>-1129</v>
      </c>
      <c r="K26" s="106"/>
      <c r="L26" s="107"/>
      <c r="M26" s="26">
        <f t="shared" si="17"/>
        <v>-1129</v>
      </c>
      <c r="N26" s="118"/>
      <c r="O26" s="117"/>
      <c r="P26" s="19">
        <f t="shared" si="18"/>
        <v>-1129</v>
      </c>
      <c r="Q26" s="106"/>
      <c r="R26" s="107"/>
      <c r="S26" s="26">
        <f t="shared" si="19"/>
        <v>-1129</v>
      </c>
      <c r="T26" s="118"/>
      <c r="U26" s="117"/>
      <c r="V26" s="19">
        <f t="shared" si="20"/>
        <v>-1129</v>
      </c>
      <c r="W26" s="95"/>
    </row>
    <row r="27" spans="1:23" ht="15" customHeight="1">
      <c r="A27" s="91"/>
      <c r="B27" s="44" t="s">
        <v>138</v>
      </c>
      <c r="C27" s="38">
        <v>-75</v>
      </c>
      <c r="D27" s="19">
        <f t="shared" si="14"/>
        <v>-1129</v>
      </c>
      <c r="E27" s="106"/>
      <c r="F27" s="107"/>
      <c r="G27" s="23">
        <f t="shared" si="15"/>
        <v>-1129</v>
      </c>
      <c r="H27" s="118"/>
      <c r="I27" s="117"/>
      <c r="J27" s="19">
        <f t="shared" si="16"/>
        <v>-1129</v>
      </c>
      <c r="K27" s="106"/>
      <c r="L27" s="107"/>
      <c r="M27" s="26">
        <f t="shared" si="17"/>
        <v>-1129</v>
      </c>
      <c r="N27" s="118"/>
      <c r="O27" s="117"/>
      <c r="P27" s="38">
        <f t="shared" si="18"/>
        <v>-1129</v>
      </c>
      <c r="Q27" s="106"/>
      <c r="R27" s="107"/>
      <c r="S27" s="26">
        <f t="shared" si="19"/>
        <v>-1129</v>
      </c>
      <c r="T27" s="118"/>
      <c r="U27" s="117"/>
      <c r="V27" s="19">
        <f t="shared" si="20"/>
        <v>-1129</v>
      </c>
      <c r="W27" s="95"/>
    </row>
    <row r="28" spans="1:23" ht="15" customHeight="1">
      <c r="A28" s="91"/>
      <c r="B28" s="117"/>
      <c r="C28" s="117"/>
      <c r="D28" s="19">
        <f t="shared" si="14"/>
        <v>-1129</v>
      </c>
      <c r="E28" s="106"/>
      <c r="F28" s="107"/>
      <c r="G28" s="23">
        <f t="shared" si="15"/>
        <v>-1129</v>
      </c>
      <c r="H28" s="118"/>
      <c r="I28" s="117"/>
      <c r="J28" s="19">
        <f t="shared" si="16"/>
        <v>-1129</v>
      </c>
      <c r="K28" s="106"/>
      <c r="L28" s="107"/>
      <c r="M28" s="26">
        <f t="shared" si="17"/>
        <v>-1129</v>
      </c>
      <c r="N28" s="118"/>
      <c r="O28" s="117"/>
      <c r="P28" s="38">
        <f t="shared" si="18"/>
        <v>-1129</v>
      </c>
      <c r="Q28" s="106"/>
      <c r="R28" s="107"/>
      <c r="S28" s="26">
        <f t="shared" si="19"/>
        <v>-1129</v>
      </c>
      <c r="T28" s="118"/>
      <c r="U28" s="117"/>
      <c r="V28" s="45">
        <f t="shared" si="20"/>
        <v>-1129</v>
      </c>
      <c r="W28" s="143"/>
    </row>
    <row r="29" spans="1:23" ht="15" customHeight="1">
      <c r="A29" s="91"/>
      <c r="B29" s="118"/>
      <c r="C29" s="117"/>
      <c r="D29" s="19">
        <f t="shared" si="14"/>
        <v>-1129</v>
      </c>
      <c r="E29" s="106"/>
      <c r="F29" s="107"/>
      <c r="G29" s="23">
        <f t="shared" si="15"/>
        <v>-1129</v>
      </c>
      <c r="H29" s="118"/>
      <c r="I29" s="117"/>
      <c r="J29" s="19">
        <f t="shared" si="16"/>
        <v>-1129</v>
      </c>
      <c r="K29" s="106"/>
      <c r="L29" s="107"/>
      <c r="M29" s="26">
        <f t="shared" si="17"/>
        <v>-1129</v>
      </c>
      <c r="N29" s="118"/>
      <c r="O29" s="117"/>
      <c r="P29" s="38">
        <f t="shared" si="18"/>
        <v>-1129</v>
      </c>
      <c r="Q29" s="106"/>
      <c r="R29" s="107"/>
      <c r="S29" s="26">
        <f t="shared" si="19"/>
        <v>-1129</v>
      </c>
      <c r="T29" s="118"/>
      <c r="U29" s="117"/>
      <c r="V29" s="45">
        <f t="shared" si="20"/>
        <v>-1129</v>
      </c>
      <c r="W29" s="143"/>
    </row>
    <row r="30" spans="1:23" ht="15" customHeight="1">
      <c r="A30" s="91"/>
      <c r="B30" s="118"/>
      <c r="C30" s="117"/>
      <c r="D30" s="19">
        <f t="shared" si="14"/>
        <v>-1129</v>
      </c>
      <c r="E30" s="112"/>
      <c r="F30" s="107"/>
      <c r="G30" s="23">
        <f t="shared" si="15"/>
        <v>-1129</v>
      </c>
      <c r="H30" s="118"/>
      <c r="I30" s="117"/>
      <c r="J30" s="19">
        <f t="shared" si="16"/>
        <v>-1129</v>
      </c>
      <c r="K30" s="106"/>
      <c r="L30" s="107"/>
      <c r="M30" s="26">
        <f t="shared" si="17"/>
        <v>-1129</v>
      </c>
      <c r="N30" s="118"/>
      <c r="O30" s="117"/>
      <c r="P30" s="38">
        <f t="shared" si="18"/>
        <v>-1129</v>
      </c>
      <c r="Q30" s="106"/>
      <c r="R30" s="107"/>
      <c r="S30" s="26">
        <f t="shared" si="19"/>
        <v>-1129</v>
      </c>
      <c r="T30" s="118"/>
      <c r="U30" s="117"/>
      <c r="V30" s="45">
        <f t="shared" si="20"/>
        <v>-1129</v>
      </c>
      <c r="W30" s="143"/>
    </row>
    <row r="31" spans="1:23" ht="15" customHeight="1">
      <c r="A31" s="91"/>
      <c r="B31" s="118"/>
      <c r="C31" s="117"/>
      <c r="D31" s="19">
        <f t="shared" si="14"/>
        <v>-1129</v>
      </c>
      <c r="E31" s="112"/>
      <c r="F31" s="107"/>
      <c r="G31" s="23">
        <f t="shared" si="15"/>
        <v>-1129</v>
      </c>
      <c r="H31" s="118"/>
      <c r="I31" s="117"/>
      <c r="J31" s="19">
        <f t="shared" si="16"/>
        <v>-1129</v>
      </c>
      <c r="K31" s="106"/>
      <c r="L31" s="107"/>
      <c r="M31" s="26">
        <f t="shared" si="17"/>
        <v>-1129</v>
      </c>
      <c r="N31" s="118"/>
      <c r="O31" s="117"/>
      <c r="P31" s="38">
        <f t="shared" si="18"/>
        <v>-1129</v>
      </c>
      <c r="Q31" s="106"/>
      <c r="R31" s="107"/>
      <c r="S31" s="26">
        <f t="shared" si="19"/>
        <v>-1129</v>
      </c>
      <c r="T31" s="118"/>
      <c r="U31" s="117"/>
      <c r="V31" s="45">
        <f t="shared" si="20"/>
        <v>-1129</v>
      </c>
      <c r="W31" s="143"/>
    </row>
    <row r="32" spans="1:23" ht="15" customHeight="1">
      <c r="A32" s="91"/>
      <c r="B32" s="118"/>
      <c r="C32" s="117"/>
      <c r="D32" s="19">
        <f t="shared" si="14"/>
        <v>-1129</v>
      </c>
      <c r="E32" s="112"/>
      <c r="F32" s="107"/>
      <c r="G32" s="23">
        <f t="shared" si="15"/>
        <v>-1129</v>
      </c>
      <c r="H32" s="118"/>
      <c r="I32" s="117"/>
      <c r="J32" s="19">
        <f t="shared" si="16"/>
        <v>-1129</v>
      </c>
      <c r="K32" s="106"/>
      <c r="L32" s="107"/>
      <c r="M32" s="26">
        <f t="shared" si="17"/>
        <v>-1129</v>
      </c>
      <c r="N32" s="118"/>
      <c r="O32" s="117"/>
      <c r="P32" s="38">
        <f t="shared" si="18"/>
        <v>-1129</v>
      </c>
      <c r="Q32" s="106"/>
      <c r="R32" s="107"/>
      <c r="S32" s="26">
        <f t="shared" si="19"/>
        <v>-1129</v>
      </c>
      <c r="T32" s="118"/>
      <c r="U32" s="117"/>
      <c r="V32" s="45">
        <f t="shared" si="20"/>
        <v>-1129</v>
      </c>
      <c r="W32" s="143"/>
    </row>
    <row r="33" spans="1:23" ht="15" customHeight="1">
      <c r="A33" s="91"/>
      <c r="B33" s="154"/>
      <c r="C33" s="128"/>
      <c r="D33" s="29">
        <f t="shared" si="14"/>
        <v>-1129</v>
      </c>
      <c r="E33" s="122"/>
      <c r="F33" s="123"/>
      <c r="G33" s="31">
        <f t="shared" si="15"/>
        <v>-1129</v>
      </c>
      <c r="H33" s="154"/>
      <c r="I33" s="128"/>
      <c r="J33" s="29">
        <f t="shared" si="16"/>
        <v>-1129</v>
      </c>
      <c r="K33" s="122"/>
      <c r="L33" s="123"/>
      <c r="M33" s="39">
        <f t="shared" si="17"/>
        <v>-1129</v>
      </c>
      <c r="N33" s="154"/>
      <c r="O33" s="128"/>
      <c r="P33" s="40">
        <f t="shared" si="18"/>
        <v>-1129</v>
      </c>
      <c r="Q33" s="122"/>
      <c r="R33" s="123"/>
      <c r="S33" s="39">
        <f t="shared" si="19"/>
        <v>-1129</v>
      </c>
      <c r="T33" s="154"/>
      <c r="U33" s="128"/>
      <c r="V33" s="46">
        <f t="shared" si="20"/>
        <v>-1129</v>
      </c>
      <c r="W33" s="143"/>
    </row>
    <row r="34" spans="1:23" ht="17.25" customHeight="1">
      <c r="A34" s="162"/>
      <c r="B34" s="77">
        <f ca="1">IFERROR(__xludf.DUMMYFUNCTION("DATE(VALUE(LEFT($B$2,4)),VALUE(MID($B$2,6,2)),VALUE(RIGHT($B$2,2)))
+ (VALUE(REGEXEXTRACT(INDIRECT(""A""&amp;ROW()+1),""\d+""))-1)*7
+ INT((COLUMN()-COLUMN($B34))/3)
"),46040)</f>
        <v>46040</v>
      </c>
      <c r="C34" s="81"/>
      <c r="D34" s="82"/>
      <c r="E34" s="77">
        <f ca="1">IFERROR(__xludf.DUMMYFUNCTION("DATE(VALUE(LEFT($B$2,4)),VALUE(MID($B$2,6,2)),VALUE(RIGHT($B$2,2)))
+ (VALUE(REGEXEXTRACT(INDIRECT(""A""&amp;ROW()+1),""\d+""))-1)*7
+ INT((COLUMN()-COLUMN($B34))/3)
"),46041)</f>
        <v>46041</v>
      </c>
      <c r="F34" s="81"/>
      <c r="G34" s="82"/>
      <c r="H34" s="77">
        <f ca="1">IFERROR(__xludf.DUMMYFUNCTION("DATE(VALUE(LEFT($B$2,4)),VALUE(MID($B$2,6,2)),VALUE(RIGHT($B$2,2)))
+ (VALUE(REGEXEXTRACT(INDIRECT(""A""&amp;ROW()+1),""\d+""))-1)*7
+ INT((COLUMN()-COLUMN($B34))/3)
"),46042)</f>
        <v>46042</v>
      </c>
      <c r="I34" s="81"/>
      <c r="J34" s="82"/>
      <c r="K34" s="77">
        <f ca="1">IFERROR(__xludf.DUMMYFUNCTION("DATE(VALUE(LEFT($B$2,4)),VALUE(MID($B$2,6,2)),VALUE(RIGHT($B$2,2)))
+ (VALUE(REGEXEXTRACT(INDIRECT(""A""&amp;ROW()+1),""\d+""))-1)*7
+ INT((COLUMN()-COLUMN($B34))/3)
"),46043)</f>
        <v>46043</v>
      </c>
      <c r="L34" s="81"/>
      <c r="M34" s="82"/>
      <c r="N34" s="77">
        <f ca="1">IFERROR(__xludf.DUMMYFUNCTION("DATE(VALUE(LEFT($B$2,4)),VALUE(MID($B$2,6,2)),VALUE(RIGHT($B$2,2)))
+ (VALUE(REGEXEXTRACT(INDIRECT(""A""&amp;ROW()+1),""\d+""))-1)*7
+ INT((COLUMN()-COLUMN($B34))/3)
"),46044)</f>
        <v>46044</v>
      </c>
      <c r="O34" s="81"/>
      <c r="P34" s="82"/>
      <c r="Q34" s="77">
        <f ca="1">IFERROR(__xludf.DUMMYFUNCTION("DATE(VALUE(LEFT($B$2,4)),VALUE(MID($B$2,6,2)),VALUE(RIGHT($B$2,2)))
+ (VALUE(REGEXEXTRACT(INDIRECT(""A""&amp;ROW()+1),""\d+""))-1)*7
+ INT((COLUMN()-COLUMN($B34))/3)
"),46045)</f>
        <v>46045</v>
      </c>
      <c r="R34" s="81"/>
      <c r="S34" s="82"/>
      <c r="T34" s="77">
        <f ca="1">IFERROR(__xludf.DUMMYFUNCTION("DATE(VALUE(LEFT($B$2,4)),VALUE(MID($B$2,6,2)),VALUE(RIGHT($B$2,2)))
+ (VALUE(REGEXEXTRACT(INDIRECT(""A""&amp;ROW()+1),""\d+""))-1)*7
+ INT((COLUMN()-COLUMN($B34))/3)
"),46046)</f>
        <v>46046</v>
      </c>
      <c r="U34" s="81"/>
      <c r="V34" s="82"/>
      <c r="W34" s="143"/>
    </row>
    <row r="35" spans="1:23" ht="15" customHeight="1">
      <c r="A35" s="47" t="s">
        <v>139</v>
      </c>
      <c r="B35" s="34" t="s">
        <v>74</v>
      </c>
      <c r="C35" s="18">
        <v>-75</v>
      </c>
      <c r="D35" s="17">
        <f>V33+C35</f>
        <v>-1204</v>
      </c>
      <c r="E35" s="113"/>
      <c r="F35" s="109"/>
      <c r="G35" s="42">
        <f>D44+F35</f>
        <v>-1294</v>
      </c>
      <c r="H35" s="112"/>
      <c r="I35" s="111"/>
      <c r="J35" s="17">
        <f>G44+I35</f>
        <v>-1294</v>
      </c>
      <c r="K35" s="113"/>
      <c r="L35" s="109"/>
      <c r="M35" s="35">
        <f>J44+L35</f>
        <v>-1294</v>
      </c>
      <c r="N35" s="112"/>
      <c r="O35" s="111"/>
      <c r="P35" s="17">
        <f>M44+O35</f>
        <v>-1294</v>
      </c>
      <c r="Q35" s="113"/>
      <c r="R35" s="109"/>
      <c r="S35" s="35">
        <f>P44+R35</f>
        <v>-1294</v>
      </c>
      <c r="T35" s="112"/>
      <c r="U35" s="111"/>
      <c r="V35" s="48">
        <f>S44+U35</f>
        <v>-1294</v>
      </c>
      <c r="W35" s="143"/>
    </row>
    <row r="36" spans="1:23" ht="15" customHeight="1">
      <c r="A36" s="114"/>
      <c r="B36" s="37" t="s">
        <v>76</v>
      </c>
      <c r="C36" s="23">
        <v>-25</v>
      </c>
      <c r="D36" s="26">
        <f t="shared" ref="D36:D44" si="21">D35+C36</f>
        <v>-1229</v>
      </c>
      <c r="E36" s="118"/>
      <c r="F36" s="117"/>
      <c r="G36" s="19">
        <f t="shared" ref="G36:G44" si="22">G35+F36</f>
        <v>-1294</v>
      </c>
      <c r="H36" s="106"/>
      <c r="I36" s="107"/>
      <c r="J36" s="26">
        <f t="shared" ref="J36:J44" si="23">J35+I36</f>
        <v>-1294</v>
      </c>
      <c r="K36" s="118"/>
      <c r="L36" s="117"/>
      <c r="M36" s="38">
        <f t="shared" ref="M36:M44" si="24">M35+L36</f>
        <v>-1294</v>
      </c>
      <c r="N36" s="106"/>
      <c r="O36" s="107"/>
      <c r="P36" s="26">
        <f t="shared" ref="P36:P44" si="25">P35+O36</f>
        <v>-1294</v>
      </c>
      <c r="Q36" s="118"/>
      <c r="R36" s="117"/>
      <c r="S36" s="38">
        <f t="shared" ref="S36:S44" si="26">S35+R36</f>
        <v>-1294</v>
      </c>
      <c r="T36" s="106"/>
      <c r="U36" s="107"/>
      <c r="V36" s="20">
        <f t="shared" ref="V36:V44" si="27">V35+U36</f>
        <v>-1294</v>
      </c>
      <c r="W36" s="143"/>
    </row>
    <row r="37" spans="1:23" ht="15" customHeight="1">
      <c r="A37" s="114"/>
      <c r="B37" s="37" t="s">
        <v>79</v>
      </c>
      <c r="C37" s="23">
        <v>-65</v>
      </c>
      <c r="D37" s="26">
        <f t="shared" si="21"/>
        <v>-1294</v>
      </c>
      <c r="E37" s="118"/>
      <c r="F37" s="117"/>
      <c r="G37" s="19">
        <f t="shared" si="22"/>
        <v>-1294</v>
      </c>
      <c r="H37" s="106"/>
      <c r="I37" s="107"/>
      <c r="J37" s="26">
        <f t="shared" si="23"/>
        <v>-1294</v>
      </c>
      <c r="K37" s="117"/>
      <c r="L37" s="117"/>
      <c r="M37" s="38">
        <f t="shared" si="24"/>
        <v>-1294</v>
      </c>
      <c r="N37" s="106"/>
      <c r="O37" s="107"/>
      <c r="P37" s="26">
        <f t="shared" si="25"/>
        <v>-1294</v>
      </c>
      <c r="Q37" s="118"/>
      <c r="R37" s="117"/>
      <c r="S37" s="38">
        <f t="shared" si="26"/>
        <v>-1294</v>
      </c>
      <c r="T37" s="106"/>
      <c r="U37" s="107"/>
      <c r="V37" s="20">
        <f t="shared" si="27"/>
        <v>-1294</v>
      </c>
      <c r="W37" s="143"/>
    </row>
    <row r="38" spans="1:23" ht="15" customHeight="1">
      <c r="A38" s="114"/>
      <c r="B38" s="106"/>
      <c r="C38" s="107"/>
      <c r="D38" s="26">
        <f t="shared" si="21"/>
        <v>-1294</v>
      </c>
      <c r="E38" s="118"/>
      <c r="F38" s="117"/>
      <c r="G38" s="19">
        <f t="shared" si="22"/>
        <v>-1294</v>
      </c>
      <c r="H38" s="106"/>
      <c r="I38" s="107"/>
      <c r="J38" s="26">
        <f t="shared" si="23"/>
        <v>-1294</v>
      </c>
      <c r="K38" s="117"/>
      <c r="L38" s="117"/>
      <c r="M38" s="38">
        <f t="shared" si="24"/>
        <v>-1294</v>
      </c>
      <c r="N38" s="106"/>
      <c r="O38" s="107"/>
      <c r="P38" s="26">
        <f t="shared" si="25"/>
        <v>-1294</v>
      </c>
      <c r="Q38" s="118"/>
      <c r="R38" s="117"/>
      <c r="S38" s="38">
        <f t="shared" si="26"/>
        <v>-1294</v>
      </c>
      <c r="T38" s="106"/>
      <c r="U38" s="107"/>
      <c r="V38" s="20">
        <f t="shared" si="27"/>
        <v>-1294</v>
      </c>
      <c r="W38" s="143"/>
    </row>
    <row r="39" spans="1:23" ht="15" customHeight="1">
      <c r="A39" s="114"/>
      <c r="B39" s="106"/>
      <c r="C39" s="107"/>
      <c r="D39" s="26">
        <f t="shared" si="21"/>
        <v>-1294</v>
      </c>
      <c r="E39" s="118"/>
      <c r="F39" s="117"/>
      <c r="G39" s="19">
        <f t="shared" si="22"/>
        <v>-1294</v>
      </c>
      <c r="H39" s="106"/>
      <c r="I39" s="107"/>
      <c r="J39" s="26">
        <f t="shared" si="23"/>
        <v>-1294</v>
      </c>
      <c r="K39" s="117"/>
      <c r="L39" s="117"/>
      <c r="M39" s="38">
        <f t="shared" si="24"/>
        <v>-1294</v>
      </c>
      <c r="N39" s="106"/>
      <c r="O39" s="107"/>
      <c r="P39" s="26">
        <f t="shared" si="25"/>
        <v>-1294</v>
      </c>
      <c r="Q39" s="118"/>
      <c r="R39" s="117"/>
      <c r="S39" s="38">
        <f t="shared" si="26"/>
        <v>-1294</v>
      </c>
      <c r="T39" s="106"/>
      <c r="U39" s="107"/>
      <c r="V39" s="20">
        <f t="shared" si="27"/>
        <v>-1294</v>
      </c>
      <c r="W39" s="143"/>
    </row>
    <row r="40" spans="1:23" ht="15" customHeight="1">
      <c r="A40" s="114"/>
      <c r="B40" s="106"/>
      <c r="C40" s="107"/>
      <c r="D40" s="26">
        <f t="shared" si="21"/>
        <v>-1294</v>
      </c>
      <c r="E40" s="118"/>
      <c r="F40" s="117"/>
      <c r="G40" s="19">
        <f t="shared" si="22"/>
        <v>-1294</v>
      </c>
      <c r="H40" s="116"/>
      <c r="I40" s="107"/>
      <c r="J40" s="26">
        <f t="shared" si="23"/>
        <v>-1294</v>
      </c>
      <c r="K40" s="117"/>
      <c r="L40" s="117"/>
      <c r="M40" s="38">
        <f t="shared" si="24"/>
        <v>-1294</v>
      </c>
      <c r="N40" s="106"/>
      <c r="O40" s="107"/>
      <c r="P40" s="26">
        <f t="shared" si="25"/>
        <v>-1294</v>
      </c>
      <c r="Q40" s="118"/>
      <c r="R40" s="117"/>
      <c r="S40" s="38">
        <f t="shared" si="26"/>
        <v>-1294</v>
      </c>
      <c r="T40" s="106"/>
      <c r="U40" s="107"/>
      <c r="V40" s="20">
        <f t="shared" si="27"/>
        <v>-1294</v>
      </c>
      <c r="W40" s="143"/>
    </row>
    <row r="41" spans="1:23" ht="15" customHeight="1">
      <c r="A41" s="114"/>
      <c r="B41" s="106"/>
      <c r="C41" s="107"/>
      <c r="D41" s="26">
        <f t="shared" si="21"/>
        <v>-1294</v>
      </c>
      <c r="E41" s="118"/>
      <c r="F41" s="117"/>
      <c r="G41" s="19">
        <f t="shared" si="22"/>
        <v>-1294</v>
      </c>
      <c r="H41" s="106"/>
      <c r="I41" s="107"/>
      <c r="J41" s="26">
        <f t="shared" si="23"/>
        <v>-1294</v>
      </c>
      <c r="K41" s="117"/>
      <c r="L41" s="117"/>
      <c r="M41" s="38">
        <f t="shared" si="24"/>
        <v>-1294</v>
      </c>
      <c r="N41" s="106"/>
      <c r="O41" s="107"/>
      <c r="P41" s="26">
        <f t="shared" si="25"/>
        <v>-1294</v>
      </c>
      <c r="Q41" s="118"/>
      <c r="R41" s="117"/>
      <c r="S41" s="38">
        <f t="shared" si="26"/>
        <v>-1294</v>
      </c>
      <c r="T41" s="106"/>
      <c r="U41" s="107"/>
      <c r="V41" s="20">
        <f t="shared" si="27"/>
        <v>-1294</v>
      </c>
      <c r="W41" s="143"/>
    </row>
    <row r="42" spans="1:23" ht="15" customHeight="1">
      <c r="A42" s="114"/>
      <c r="B42" s="106"/>
      <c r="C42" s="107"/>
      <c r="D42" s="26">
        <f t="shared" si="21"/>
        <v>-1294</v>
      </c>
      <c r="E42" s="118"/>
      <c r="F42" s="117"/>
      <c r="G42" s="19">
        <f t="shared" si="22"/>
        <v>-1294</v>
      </c>
      <c r="H42" s="106"/>
      <c r="I42" s="107"/>
      <c r="J42" s="26">
        <f t="shared" si="23"/>
        <v>-1294</v>
      </c>
      <c r="K42" s="117"/>
      <c r="L42" s="117"/>
      <c r="M42" s="38">
        <f t="shared" si="24"/>
        <v>-1294</v>
      </c>
      <c r="N42" s="106"/>
      <c r="O42" s="107"/>
      <c r="P42" s="26">
        <f t="shared" si="25"/>
        <v>-1294</v>
      </c>
      <c r="Q42" s="118"/>
      <c r="R42" s="117"/>
      <c r="S42" s="38">
        <f t="shared" si="26"/>
        <v>-1294</v>
      </c>
      <c r="T42" s="106"/>
      <c r="U42" s="107"/>
      <c r="V42" s="20">
        <f t="shared" si="27"/>
        <v>-1294</v>
      </c>
      <c r="W42" s="143"/>
    </row>
    <row r="43" spans="1:23" ht="15" customHeight="1">
      <c r="A43" s="114"/>
      <c r="B43" s="106"/>
      <c r="C43" s="107"/>
      <c r="D43" s="26">
        <f t="shared" si="21"/>
        <v>-1294</v>
      </c>
      <c r="E43" s="118"/>
      <c r="F43" s="117"/>
      <c r="G43" s="19">
        <f t="shared" si="22"/>
        <v>-1294</v>
      </c>
      <c r="H43" s="106"/>
      <c r="I43" s="107"/>
      <c r="J43" s="26">
        <f t="shared" si="23"/>
        <v>-1294</v>
      </c>
      <c r="K43" s="117"/>
      <c r="L43" s="117"/>
      <c r="M43" s="38">
        <f t="shared" si="24"/>
        <v>-1294</v>
      </c>
      <c r="N43" s="106"/>
      <c r="O43" s="107"/>
      <c r="P43" s="26">
        <f t="shared" si="25"/>
        <v>-1294</v>
      </c>
      <c r="Q43" s="118"/>
      <c r="R43" s="117"/>
      <c r="S43" s="38">
        <f t="shared" si="26"/>
        <v>-1294</v>
      </c>
      <c r="T43" s="106"/>
      <c r="U43" s="107"/>
      <c r="V43" s="20">
        <f t="shared" si="27"/>
        <v>-1294</v>
      </c>
      <c r="W43" s="143"/>
    </row>
    <row r="44" spans="1:23" ht="15" customHeight="1">
      <c r="A44" s="114"/>
      <c r="B44" s="122"/>
      <c r="C44" s="123"/>
      <c r="D44" s="39">
        <f t="shared" si="21"/>
        <v>-1294</v>
      </c>
      <c r="E44" s="154"/>
      <c r="F44" s="128"/>
      <c r="G44" s="29">
        <f t="shared" si="22"/>
        <v>-1294</v>
      </c>
      <c r="H44" s="122"/>
      <c r="I44" s="123"/>
      <c r="J44" s="39">
        <f t="shared" si="23"/>
        <v>-1294</v>
      </c>
      <c r="K44" s="154"/>
      <c r="L44" s="128"/>
      <c r="M44" s="40">
        <f t="shared" si="24"/>
        <v>-1294</v>
      </c>
      <c r="N44" s="122"/>
      <c r="O44" s="123"/>
      <c r="P44" s="39">
        <f t="shared" si="25"/>
        <v>-1294</v>
      </c>
      <c r="Q44" s="154"/>
      <c r="R44" s="128"/>
      <c r="S44" s="40">
        <f t="shared" si="26"/>
        <v>-1294</v>
      </c>
      <c r="T44" s="122"/>
      <c r="U44" s="123"/>
      <c r="V44" s="49">
        <f t="shared" si="27"/>
        <v>-1294</v>
      </c>
      <c r="W44" s="143"/>
    </row>
    <row r="45" spans="1:23" ht="17.25" customHeight="1">
      <c r="A45" s="87"/>
      <c r="B45" s="77">
        <f ca="1">IFERROR(__xludf.DUMMYFUNCTION("DATE(VALUE(LEFT($B$2,4)),VALUE(MID($B$2,6,2)),VALUE(RIGHT($B$2,2)))
+ (VALUE(REGEXEXTRACT(INDIRECT(""A""&amp;ROW()+1),""\d+""))-1)*7
+ INT((COLUMN()-COLUMN($B45))/3)
"),46047)</f>
        <v>46047</v>
      </c>
      <c r="C45" s="81"/>
      <c r="D45" s="82"/>
      <c r="E45" s="77">
        <f ca="1">IFERROR(__xludf.DUMMYFUNCTION("DATE(VALUE(LEFT($B$2,4)),VALUE(MID($B$2,6,2)),VALUE(RIGHT($B$2,2)))
+ (VALUE(REGEXEXTRACT(INDIRECT(""A""&amp;ROW()+1),""\d+""))-1)*7
+ INT((COLUMN()-COLUMN($B45))/3)
"),46048)</f>
        <v>46048</v>
      </c>
      <c r="F45" s="81"/>
      <c r="G45" s="82"/>
      <c r="H45" s="77">
        <f ca="1">IFERROR(__xludf.DUMMYFUNCTION("DATE(VALUE(LEFT($B$2,4)),VALUE(MID($B$2,6,2)),VALUE(RIGHT($B$2,2)))
+ (VALUE(REGEXEXTRACT(INDIRECT(""A""&amp;ROW()+1),""\d+""))-1)*7
+ INT((COLUMN()-COLUMN($B45))/3)
"),46049)</f>
        <v>46049</v>
      </c>
      <c r="I45" s="81"/>
      <c r="J45" s="82"/>
      <c r="K45" s="77">
        <f ca="1">IFERROR(__xludf.DUMMYFUNCTION("DATE(VALUE(LEFT($B$2,4)),VALUE(MID($B$2,6,2)),VALUE(RIGHT($B$2,2)))
+ (VALUE(REGEXEXTRACT(INDIRECT(""A""&amp;ROW()+1),""\d+""))-1)*7
+ INT((COLUMN()-COLUMN($B45))/3)
"),46050)</f>
        <v>46050</v>
      </c>
      <c r="L45" s="81"/>
      <c r="M45" s="82"/>
      <c r="N45" s="77">
        <f ca="1">IFERROR(__xludf.DUMMYFUNCTION("DATE(VALUE(LEFT($B$2,4)),VALUE(MID($B$2,6,2)),VALUE(RIGHT($B$2,2)))
+ (VALUE(REGEXEXTRACT(INDIRECT(""A""&amp;ROW()+1),""\d+""))-1)*7
+ INT((COLUMN()-COLUMN($B45))/3)
"),46051)</f>
        <v>46051</v>
      </c>
      <c r="O45" s="81"/>
      <c r="P45" s="82"/>
      <c r="Q45" s="77">
        <f ca="1">IFERROR(__xludf.DUMMYFUNCTION("DATE(VALUE(LEFT($B$2,4)),VALUE(MID($B$2,6,2)),VALUE(RIGHT($B$2,2)))
+ (VALUE(REGEXEXTRACT(INDIRECT(""A""&amp;ROW()+1),""\d+""))-1)*7
+ INT((COLUMN()-COLUMN($B45))/3)
"),46052)</f>
        <v>46052</v>
      </c>
      <c r="R45" s="81"/>
      <c r="S45" s="82"/>
      <c r="T45" s="77">
        <f ca="1">IFERROR(__xludf.DUMMYFUNCTION("DATE(VALUE(LEFT($B$2,4)),VALUE(MID($B$2,6,2)),VALUE(RIGHT($B$2,2)))
+ (VALUE(REGEXEXTRACT(INDIRECT(""A""&amp;ROW()+1),""\d+""))-1)*7
+ INT((COLUMN()-COLUMN($B45))/3)
"),46053)</f>
        <v>46053</v>
      </c>
      <c r="U45" s="81"/>
      <c r="V45" s="82"/>
      <c r="W45" s="41" t="s">
        <v>20</v>
      </c>
    </row>
    <row r="46" spans="1:23" ht="15" customHeight="1">
      <c r="A46" s="47" t="s">
        <v>140</v>
      </c>
      <c r="B46" s="35" t="s">
        <v>74</v>
      </c>
      <c r="C46" s="35">
        <v>-75</v>
      </c>
      <c r="D46" s="42">
        <f>V44+C46</f>
        <v>-1369</v>
      </c>
      <c r="E46" s="112"/>
      <c r="F46" s="168"/>
      <c r="G46" s="18">
        <f>D56+F46</f>
        <v>-1459</v>
      </c>
      <c r="H46" s="113"/>
      <c r="I46" s="132"/>
      <c r="J46" s="42">
        <f>G56+I46</f>
        <v>-1459</v>
      </c>
      <c r="K46" s="112"/>
      <c r="L46" s="111"/>
      <c r="M46" s="48">
        <f>J56+L46</f>
        <v>-1459</v>
      </c>
      <c r="N46" s="149"/>
      <c r="O46" s="109"/>
      <c r="P46" s="35">
        <f>M56+O46</f>
        <v>-1459</v>
      </c>
      <c r="Q46" s="112"/>
      <c r="R46" s="111"/>
      <c r="S46" s="18">
        <f>P56+R46</f>
        <v>-1459</v>
      </c>
      <c r="T46" s="113"/>
      <c r="U46" s="109"/>
      <c r="V46" s="50">
        <f>S56+U46</f>
        <v>-1459</v>
      </c>
      <c r="W46" s="169"/>
    </row>
    <row r="47" spans="1:23" ht="15" customHeight="1">
      <c r="A47" s="114"/>
      <c r="B47" s="38" t="s">
        <v>76</v>
      </c>
      <c r="C47" s="38">
        <v>-25</v>
      </c>
      <c r="D47" s="19">
        <f t="shared" ref="D47:D56" si="28">D46+C47</f>
        <v>-1394</v>
      </c>
      <c r="E47" s="106"/>
      <c r="F47" s="170"/>
      <c r="G47" s="26">
        <f t="shared" ref="G47:G56" si="29">G46+F47</f>
        <v>-1459</v>
      </c>
      <c r="H47" s="118"/>
      <c r="I47" s="133"/>
      <c r="J47" s="19">
        <f t="shared" ref="J47:J56" si="30">J46+I47</f>
        <v>-1459</v>
      </c>
      <c r="K47" s="106"/>
      <c r="L47" s="107"/>
      <c r="M47" s="26">
        <f t="shared" ref="M47:M56" si="31">M46+L47</f>
        <v>-1459</v>
      </c>
      <c r="N47" s="117"/>
      <c r="O47" s="117"/>
      <c r="P47" s="38">
        <f t="shared" ref="P47:P56" si="32">P46+O47</f>
        <v>-1459</v>
      </c>
      <c r="Q47" s="106"/>
      <c r="R47" s="107"/>
      <c r="S47" s="26">
        <f t="shared" ref="S47:S56" si="33">S46+R47</f>
        <v>-1459</v>
      </c>
      <c r="T47" s="136"/>
      <c r="U47" s="136"/>
      <c r="V47" s="45">
        <f t="shared" ref="V47:V56" si="34">V46+U47</f>
        <v>-1459</v>
      </c>
      <c r="W47" s="143"/>
    </row>
    <row r="48" spans="1:23" ht="15" customHeight="1">
      <c r="A48" s="114"/>
      <c r="B48" s="38" t="s">
        <v>90</v>
      </c>
      <c r="C48" s="38">
        <v>-65</v>
      </c>
      <c r="D48" s="19">
        <f t="shared" si="28"/>
        <v>-1459</v>
      </c>
      <c r="E48" s="106"/>
      <c r="F48" s="170"/>
      <c r="G48" s="26">
        <f t="shared" si="29"/>
        <v>-1459</v>
      </c>
      <c r="H48" s="118"/>
      <c r="I48" s="133"/>
      <c r="J48" s="19">
        <f t="shared" si="30"/>
        <v>-1459</v>
      </c>
      <c r="K48" s="106"/>
      <c r="L48" s="107"/>
      <c r="M48" s="26">
        <f t="shared" si="31"/>
        <v>-1459</v>
      </c>
      <c r="N48" s="117"/>
      <c r="O48" s="117"/>
      <c r="P48" s="38">
        <f t="shared" si="32"/>
        <v>-1459</v>
      </c>
      <c r="Q48" s="106"/>
      <c r="R48" s="107"/>
      <c r="S48" s="26">
        <f t="shared" si="33"/>
        <v>-1459</v>
      </c>
      <c r="T48" s="136"/>
      <c r="U48" s="136"/>
      <c r="V48" s="45">
        <f t="shared" si="34"/>
        <v>-1459</v>
      </c>
      <c r="W48" s="143"/>
    </row>
    <row r="49" spans="1:23" ht="15" customHeight="1">
      <c r="A49" s="114"/>
      <c r="B49" s="117"/>
      <c r="C49" s="117"/>
      <c r="D49" s="19">
        <f t="shared" si="28"/>
        <v>-1459</v>
      </c>
      <c r="E49" s="106"/>
      <c r="F49" s="170"/>
      <c r="G49" s="26">
        <f t="shared" si="29"/>
        <v>-1459</v>
      </c>
      <c r="H49" s="118"/>
      <c r="I49" s="133"/>
      <c r="J49" s="19">
        <f t="shared" si="30"/>
        <v>-1459</v>
      </c>
      <c r="K49" s="106"/>
      <c r="L49" s="107"/>
      <c r="M49" s="26">
        <f t="shared" si="31"/>
        <v>-1459</v>
      </c>
      <c r="N49" s="117"/>
      <c r="O49" s="117"/>
      <c r="P49" s="19">
        <f t="shared" si="32"/>
        <v>-1459</v>
      </c>
      <c r="Q49" s="106"/>
      <c r="R49" s="107"/>
      <c r="S49" s="26">
        <f t="shared" si="33"/>
        <v>-1459</v>
      </c>
      <c r="T49" s="136"/>
      <c r="U49" s="136"/>
      <c r="V49" s="45">
        <f t="shared" si="34"/>
        <v>-1459</v>
      </c>
      <c r="W49" s="143"/>
    </row>
    <row r="50" spans="1:23" ht="15" customHeight="1">
      <c r="A50" s="114"/>
      <c r="B50" s="117"/>
      <c r="C50" s="117"/>
      <c r="D50" s="19">
        <f t="shared" si="28"/>
        <v>-1459</v>
      </c>
      <c r="E50" s="106"/>
      <c r="F50" s="170"/>
      <c r="G50" s="26">
        <f t="shared" si="29"/>
        <v>-1459</v>
      </c>
      <c r="H50" s="118"/>
      <c r="I50" s="133"/>
      <c r="J50" s="19">
        <f t="shared" si="30"/>
        <v>-1459</v>
      </c>
      <c r="K50" s="106"/>
      <c r="L50" s="107"/>
      <c r="M50" s="26">
        <f t="shared" si="31"/>
        <v>-1459</v>
      </c>
      <c r="N50" s="117"/>
      <c r="O50" s="117"/>
      <c r="P50" s="19">
        <f t="shared" si="32"/>
        <v>-1459</v>
      </c>
      <c r="Q50" s="106"/>
      <c r="R50" s="107"/>
      <c r="S50" s="26">
        <f t="shared" si="33"/>
        <v>-1459</v>
      </c>
      <c r="T50" s="136"/>
      <c r="U50" s="136"/>
      <c r="V50" s="45">
        <f t="shared" si="34"/>
        <v>-1459</v>
      </c>
      <c r="W50" s="143"/>
    </row>
    <row r="51" spans="1:23" ht="15" customHeight="1">
      <c r="A51" s="114"/>
      <c r="B51" s="118"/>
      <c r="C51" s="117"/>
      <c r="D51" s="19">
        <f t="shared" si="28"/>
        <v>-1459</v>
      </c>
      <c r="E51" s="106"/>
      <c r="F51" s="170"/>
      <c r="G51" s="26">
        <f t="shared" si="29"/>
        <v>-1459</v>
      </c>
      <c r="H51" s="118"/>
      <c r="I51" s="133"/>
      <c r="J51" s="19">
        <f t="shared" si="30"/>
        <v>-1459</v>
      </c>
      <c r="K51" s="106"/>
      <c r="L51" s="107"/>
      <c r="M51" s="26">
        <f t="shared" si="31"/>
        <v>-1459</v>
      </c>
      <c r="N51" s="117"/>
      <c r="O51" s="117"/>
      <c r="P51" s="19">
        <f t="shared" si="32"/>
        <v>-1459</v>
      </c>
      <c r="Q51" s="106"/>
      <c r="R51" s="107"/>
      <c r="S51" s="26">
        <f t="shared" si="33"/>
        <v>-1459</v>
      </c>
      <c r="T51" s="136"/>
      <c r="U51" s="136"/>
      <c r="V51" s="45">
        <f t="shared" si="34"/>
        <v>-1459</v>
      </c>
      <c r="W51" s="143"/>
    </row>
    <row r="52" spans="1:23" ht="15" customHeight="1">
      <c r="A52" s="114"/>
      <c r="B52" s="117"/>
      <c r="C52" s="117"/>
      <c r="D52" s="19">
        <f t="shared" si="28"/>
        <v>-1459</v>
      </c>
      <c r="E52" s="106"/>
      <c r="F52" s="170"/>
      <c r="G52" s="26">
        <f t="shared" si="29"/>
        <v>-1459</v>
      </c>
      <c r="H52" s="118"/>
      <c r="I52" s="133"/>
      <c r="J52" s="19">
        <f t="shared" si="30"/>
        <v>-1459</v>
      </c>
      <c r="K52" s="106"/>
      <c r="L52" s="107"/>
      <c r="M52" s="26">
        <f t="shared" si="31"/>
        <v>-1459</v>
      </c>
      <c r="N52" s="117"/>
      <c r="O52" s="117"/>
      <c r="P52" s="38">
        <f t="shared" si="32"/>
        <v>-1459</v>
      </c>
      <c r="Q52" s="106"/>
      <c r="R52" s="107"/>
      <c r="S52" s="26">
        <f t="shared" si="33"/>
        <v>-1459</v>
      </c>
      <c r="T52" s="136"/>
      <c r="U52" s="136"/>
      <c r="V52" s="45">
        <f t="shared" si="34"/>
        <v>-1459</v>
      </c>
      <c r="W52" s="143"/>
    </row>
    <row r="53" spans="1:23" ht="15" customHeight="1">
      <c r="A53" s="114"/>
      <c r="B53" s="117"/>
      <c r="C53" s="117"/>
      <c r="D53" s="19">
        <f t="shared" si="28"/>
        <v>-1459</v>
      </c>
      <c r="E53" s="106"/>
      <c r="F53" s="170"/>
      <c r="G53" s="26">
        <f t="shared" si="29"/>
        <v>-1459</v>
      </c>
      <c r="H53" s="117"/>
      <c r="I53" s="133"/>
      <c r="J53" s="19">
        <f t="shared" si="30"/>
        <v>-1459</v>
      </c>
      <c r="K53" s="106"/>
      <c r="L53" s="107"/>
      <c r="M53" s="26">
        <f t="shared" si="31"/>
        <v>-1459</v>
      </c>
      <c r="N53" s="117"/>
      <c r="O53" s="117"/>
      <c r="P53" s="38">
        <f t="shared" si="32"/>
        <v>-1459</v>
      </c>
      <c r="Q53" s="106"/>
      <c r="R53" s="107"/>
      <c r="S53" s="26">
        <f t="shared" si="33"/>
        <v>-1459</v>
      </c>
      <c r="T53" s="136"/>
      <c r="U53" s="136"/>
      <c r="V53" s="45">
        <f t="shared" si="34"/>
        <v>-1459</v>
      </c>
      <c r="W53" s="143"/>
    </row>
    <row r="54" spans="1:23" ht="15" customHeight="1">
      <c r="A54" s="114"/>
      <c r="B54" s="117"/>
      <c r="C54" s="117"/>
      <c r="D54" s="19">
        <f t="shared" si="28"/>
        <v>-1459</v>
      </c>
      <c r="E54" s="106"/>
      <c r="F54" s="170"/>
      <c r="G54" s="26">
        <f t="shared" si="29"/>
        <v>-1459</v>
      </c>
      <c r="H54" s="117"/>
      <c r="I54" s="133"/>
      <c r="J54" s="19">
        <f t="shared" si="30"/>
        <v>-1459</v>
      </c>
      <c r="K54" s="106"/>
      <c r="L54" s="107"/>
      <c r="M54" s="26">
        <f t="shared" si="31"/>
        <v>-1459</v>
      </c>
      <c r="N54" s="117"/>
      <c r="O54" s="117"/>
      <c r="P54" s="38">
        <f t="shared" si="32"/>
        <v>-1459</v>
      </c>
      <c r="Q54" s="106"/>
      <c r="R54" s="107"/>
      <c r="S54" s="26">
        <f t="shared" si="33"/>
        <v>-1459</v>
      </c>
      <c r="T54" s="118"/>
      <c r="U54" s="117"/>
      <c r="V54" s="45">
        <f t="shared" si="34"/>
        <v>-1459</v>
      </c>
      <c r="W54" s="143"/>
    </row>
    <row r="55" spans="1:23" ht="15" customHeight="1">
      <c r="A55" s="114"/>
      <c r="B55" s="117"/>
      <c r="C55" s="117"/>
      <c r="D55" s="19">
        <f t="shared" si="28"/>
        <v>-1459</v>
      </c>
      <c r="E55" s="122"/>
      <c r="F55" s="171"/>
      <c r="G55" s="26">
        <f t="shared" si="29"/>
        <v>-1459</v>
      </c>
      <c r="H55" s="117"/>
      <c r="I55" s="133"/>
      <c r="J55" s="19">
        <f t="shared" si="30"/>
        <v>-1459</v>
      </c>
      <c r="K55" s="122"/>
      <c r="L55" s="123"/>
      <c r="M55" s="26">
        <f t="shared" si="31"/>
        <v>-1459</v>
      </c>
      <c r="N55" s="117"/>
      <c r="O55" s="117"/>
      <c r="P55" s="38">
        <f t="shared" si="32"/>
        <v>-1459</v>
      </c>
      <c r="Q55" s="122"/>
      <c r="R55" s="123"/>
      <c r="S55" s="26">
        <f t="shared" si="33"/>
        <v>-1459</v>
      </c>
      <c r="T55" s="136"/>
      <c r="U55" s="136"/>
      <c r="V55" s="45">
        <f t="shared" si="34"/>
        <v>-1459</v>
      </c>
      <c r="W55" s="143"/>
    </row>
    <row r="56" spans="1:23" ht="15" customHeight="1">
      <c r="A56" s="114"/>
      <c r="B56" s="128"/>
      <c r="C56" s="128"/>
      <c r="D56" s="29">
        <f t="shared" si="28"/>
        <v>-1459</v>
      </c>
      <c r="E56" s="122"/>
      <c r="F56" s="171"/>
      <c r="G56" s="39">
        <f t="shared" si="29"/>
        <v>-1459</v>
      </c>
      <c r="H56" s="128"/>
      <c r="I56" s="140"/>
      <c r="J56" s="29">
        <f t="shared" si="30"/>
        <v>-1459</v>
      </c>
      <c r="K56" s="122"/>
      <c r="L56" s="123"/>
      <c r="M56" s="39">
        <f t="shared" si="31"/>
        <v>-1459</v>
      </c>
      <c r="N56" s="128"/>
      <c r="O56" s="128"/>
      <c r="P56" s="40">
        <f t="shared" si="32"/>
        <v>-1459</v>
      </c>
      <c r="Q56" s="122"/>
      <c r="R56" s="123"/>
      <c r="S56" s="39">
        <f t="shared" si="33"/>
        <v>-1459</v>
      </c>
      <c r="T56" s="141"/>
      <c r="U56" s="141"/>
      <c r="V56" s="46">
        <f t="shared" si="34"/>
        <v>-1459</v>
      </c>
      <c r="W56" s="143"/>
    </row>
    <row r="57" spans="1:23" ht="17.25" customHeight="1">
      <c r="A57" s="87"/>
      <c r="B57" s="77">
        <f ca="1">IFERROR(__xludf.DUMMYFUNCTION("DATE(VALUE(LEFT($B$2,4)),VALUE(MID($B$2,6,2)),VALUE(RIGHT($B$2,2)))
+ (VALUE(REGEXEXTRACT(INDIRECT(""A""&amp;ROW()+1),""\d+""))-1)*7
+ INT((COLUMN()-COLUMN($B57))/3)
"),46054)</f>
        <v>46054</v>
      </c>
      <c r="C57" s="81"/>
      <c r="D57" s="82"/>
      <c r="E57" s="77">
        <f ca="1">IFERROR(__xludf.DUMMYFUNCTION("DATE(VALUE(LEFT($B$2,4)),VALUE(MID($B$2,6,2)),VALUE(RIGHT($B$2,2)))
+ (VALUE(REGEXEXTRACT(INDIRECT(""A""&amp;ROW()+1),""\d+""))-1)*7
+ INT((COLUMN()-COLUMN($B57))/3)
"),46055)</f>
        <v>46055</v>
      </c>
      <c r="F57" s="81"/>
      <c r="G57" s="82"/>
      <c r="H57" s="77">
        <f ca="1">IFERROR(__xludf.DUMMYFUNCTION("DATE(VALUE(LEFT($B$2,4)),VALUE(MID($B$2,6,2)),VALUE(RIGHT($B$2,2)))
+ (VALUE(REGEXEXTRACT(INDIRECT(""A""&amp;ROW()+1),""\d+""))-1)*7
+ INT((COLUMN()-COLUMN($B57))/3)
"),46056)</f>
        <v>46056</v>
      </c>
      <c r="I57" s="81"/>
      <c r="J57" s="82"/>
      <c r="K57" s="77">
        <f ca="1">IFERROR(__xludf.DUMMYFUNCTION("DATE(VALUE(LEFT($B$2,4)),VALUE(MID($B$2,6,2)),VALUE(RIGHT($B$2,2)))
+ (VALUE(REGEXEXTRACT(INDIRECT(""A""&amp;ROW()+1),""\d+""))-1)*7
+ INT((COLUMN()-COLUMN($B57))/3)
"),46057)</f>
        <v>46057</v>
      </c>
      <c r="L57" s="81"/>
      <c r="M57" s="82"/>
      <c r="N57" s="77">
        <f ca="1">IFERROR(__xludf.DUMMYFUNCTION("DATE(VALUE(LEFT($B$2,4)),VALUE(MID($B$2,6,2)),VALUE(RIGHT($B$2,2)))
+ (VALUE(REGEXEXTRACT(INDIRECT(""A""&amp;ROW()+1),""\d+""))-1)*7
+ INT((COLUMN()-COLUMN($B57))/3)
"),46058)</f>
        <v>46058</v>
      </c>
      <c r="O57" s="81"/>
      <c r="P57" s="82"/>
      <c r="Q57" s="77">
        <f ca="1">IFERROR(__xludf.DUMMYFUNCTION("DATE(VALUE(LEFT($B$2,4)),VALUE(MID($B$2,6,2)),VALUE(RIGHT($B$2,2)))
+ (VALUE(REGEXEXTRACT(INDIRECT(""A""&amp;ROW()+1),""\d+""))-1)*7
+ INT((COLUMN()-COLUMN($B57))/3)
"),46059)</f>
        <v>46059</v>
      </c>
      <c r="R57" s="81"/>
      <c r="S57" s="82"/>
      <c r="T57" s="77">
        <f ca="1">IFERROR(__xludf.DUMMYFUNCTION("DATE(VALUE(LEFT($B$2,4)),VALUE(MID($B$2,6,2)),VALUE(RIGHT($B$2,2)))
+ (VALUE(REGEXEXTRACT(INDIRECT(""A""&amp;ROW()+1),""\d+""))-1)*7
+ INT((COLUMN()-COLUMN($B57))/3)
"),46060)</f>
        <v>46060</v>
      </c>
      <c r="U57" s="81"/>
      <c r="V57" s="82"/>
      <c r="W57" s="143"/>
    </row>
    <row r="58" spans="1:23" ht="15" customHeight="1">
      <c r="A58" s="51" t="s">
        <v>141</v>
      </c>
      <c r="B58" s="112"/>
      <c r="C58" s="111"/>
      <c r="D58" s="17">
        <f>V56+C58</f>
        <v>-1459</v>
      </c>
      <c r="E58" s="109"/>
      <c r="F58" s="109"/>
      <c r="G58" s="42">
        <f>D66+F58</f>
        <v>-1459</v>
      </c>
      <c r="H58" s="112"/>
      <c r="I58" s="111"/>
      <c r="J58" s="17">
        <f>G66+I58</f>
        <v>-1459</v>
      </c>
      <c r="K58" s="109"/>
      <c r="L58" s="109"/>
      <c r="M58" s="35">
        <f>J66+L58</f>
        <v>-1459</v>
      </c>
      <c r="N58" s="112"/>
      <c r="O58" s="111"/>
      <c r="P58" s="17">
        <f>M66+O58</f>
        <v>-1459</v>
      </c>
      <c r="Q58" s="109"/>
      <c r="R58" s="109"/>
      <c r="S58" s="35">
        <f>P66+R58</f>
        <v>-1459</v>
      </c>
      <c r="T58" s="112"/>
      <c r="U58" s="111"/>
      <c r="V58" s="48">
        <f>S66+U58</f>
        <v>-1459</v>
      </c>
      <c r="W58" s="143"/>
    </row>
    <row r="59" spans="1:23" ht="15" customHeight="1">
      <c r="A59" s="114"/>
      <c r="B59" s="106"/>
      <c r="C59" s="107"/>
      <c r="D59" s="26">
        <f t="shared" ref="D59:D66" si="35">D58+C59</f>
        <v>-1459</v>
      </c>
      <c r="E59" s="117"/>
      <c r="F59" s="117"/>
      <c r="G59" s="19">
        <f t="shared" ref="G59:G66" si="36">G58+F59</f>
        <v>-1459</v>
      </c>
      <c r="H59" s="106"/>
      <c r="I59" s="107"/>
      <c r="J59" s="26">
        <f t="shared" ref="J59:J66" si="37">J58+I59</f>
        <v>-1459</v>
      </c>
      <c r="K59" s="117"/>
      <c r="L59" s="117"/>
      <c r="M59" s="38">
        <f t="shared" ref="M59:M66" si="38">M58+L59</f>
        <v>-1459</v>
      </c>
      <c r="N59" s="106"/>
      <c r="O59" s="107"/>
      <c r="P59" s="26">
        <f t="shared" ref="P59:P66" si="39">P58+O59</f>
        <v>-1459</v>
      </c>
      <c r="Q59" s="117"/>
      <c r="R59" s="117"/>
      <c r="S59" s="38">
        <f t="shared" ref="S59:S66" si="40">S58+R59</f>
        <v>-1459</v>
      </c>
      <c r="T59" s="106"/>
      <c r="U59" s="107"/>
      <c r="V59" s="20">
        <f t="shared" ref="V59:V66" si="41">V58+U59</f>
        <v>-1459</v>
      </c>
      <c r="W59" s="143"/>
    </row>
    <row r="60" spans="1:23" ht="15" customHeight="1">
      <c r="A60" s="114"/>
      <c r="B60" s="106"/>
      <c r="C60" s="107"/>
      <c r="D60" s="26">
        <f t="shared" si="35"/>
        <v>-1459</v>
      </c>
      <c r="E60" s="117"/>
      <c r="F60" s="117"/>
      <c r="G60" s="19">
        <f t="shared" si="36"/>
        <v>-1459</v>
      </c>
      <c r="H60" s="106"/>
      <c r="I60" s="107"/>
      <c r="J60" s="26">
        <f t="shared" si="37"/>
        <v>-1459</v>
      </c>
      <c r="K60" s="117"/>
      <c r="L60" s="117"/>
      <c r="M60" s="38">
        <f t="shared" si="38"/>
        <v>-1459</v>
      </c>
      <c r="N60" s="106"/>
      <c r="O60" s="107"/>
      <c r="P60" s="26">
        <f t="shared" si="39"/>
        <v>-1459</v>
      </c>
      <c r="Q60" s="117"/>
      <c r="R60" s="117"/>
      <c r="S60" s="38">
        <f t="shared" si="40"/>
        <v>-1459</v>
      </c>
      <c r="T60" s="106"/>
      <c r="U60" s="116"/>
      <c r="V60" s="20">
        <f t="shared" si="41"/>
        <v>-1459</v>
      </c>
      <c r="W60" s="143"/>
    </row>
    <row r="61" spans="1:23" ht="15" customHeight="1">
      <c r="A61" s="114"/>
      <c r="B61" s="106"/>
      <c r="C61" s="107"/>
      <c r="D61" s="26">
        <f t="shared" si="35"/>
        <v>-1459</v>
      </c>
      <c r="E61" s="117"/>
      <c r="F61" s="117"/>
      <c r="G61" s="19">
        <f t="shared" si="36"/>
        <v>-1459</v>
      </c>
      <c r="H61" s="106"/>
      <c r="I61" s="107"/>
      <c r="J61" s="26">
        <f t="shared" si="37"/>
        <v>-1459</v>
      </c>
      <c r="K61" s="117"/>
      <c r="L61" s="117"/>
      <c r="M61" s="38">
        <f t="shared" si="38"/>
        <v>-1459</v>
      </c>
      <c r="N61" s="106"/>
      <c r="O61" s="107"/>
      <c r="P61" s="26">
        <f t="shared" si="39"/>
        <v>-1459</v>
      </c>
      <c r="Q61" s="117"/>
      <c r="R61" s="117"/>
      <c r="S61" s="38">
        <f t="shared" si="40"/>
        <v>-1459</v>
      </c>
      <c r="T61" s="106"/>
      <c r="U61" s="116"/>
      <c r="V61" s="20">
        <f t="shared" si="41"/>
        <v>-1459</v>
      </c>
      <c r="W61" s="143"/>
    </row>
    <row r="62" spans="1:23" ht="15" customHeight="1">
      <c r="A62" s="114"/>
      <c r="B62" s="106"/>
      <c r="C62" s="107"/>
      <c r="D62" s="26">
        <f t="shared" si="35"/>
        <v>-1459</v>
      </c>
      <c r="E62" s="117"/>
      <c r="F62" s="117"/>
      <c r="G62" s="19">
        <f t="shared" si="36"/>
        <v>-1459</v>
      </c>
      <c r="H62" s="106"/>
      <c r="I62" s="107"/>
      <c r="J62" s="26">
        <f t="shared" si="37"/>
        <v>-1459</v>
      </c>
      <c r="K62" s="117"/>
      <c r="L62" s="117"/>
      <c r="M62" s="38">
        <f t="shared" si="38"/>
        <v>-1459</v>
      </c>
      <c r="N62" s="106"/>
      <c r="O62" s="107"/>
      <c r="P62" s="26">
        <f t="shared" si="39"/>
        <v>-1459</v>
      </c>
      <c r="Q62" s="117"/>
      <c r="R62" s="117"/>
      <c r="S62" s="38">
        <f t="shared" si="40"/>
        <v>-1459</v>
      </c>
      <c r="T62" s="106"/>
      <c r="U62" s="116"/>
      <c r="V62" s="20">
        <f t="shared" si="41"/>
        <v>-1459</v>
      </c>
      <c r="W62" s="143"/>
    </row>
    <row r="63" spans="1:23" ht="15" customHeight="1">
      <c r="A63" s="114"/>
      <c r="B63" s="106"/>
      <c r="C63" s="107"/>
      <c r="D63" s="26">
        <f t="shared" si="35"/>
        <v>-1459</v>
      </c>
      <c r="E63" s="117"/>
      <c r="F63" s="117"/>
      <c r="G63" s="19">
        <f t="shared" si="36"/>
        <v>-1459</v>
      </c>
      <c r="H63" s="106"/>
      <c r="I63" s="107"/>
      <c r="J63" s="26">
        <f t="shared" si="37"/>
        <v>-1459</v>
      </c>
      <c r="K63" s="117"/>
      <c r="L63" s="117"/>
      <c r="M63" s="38">
        <f t="shared" si="38"/>
        <v>-1459</v>
      </c>
      <c r="N63" s="106"/>
      <c r="O63" s="107"/>
      <c r="P63" s="26">
        <f t="shared" si="39"/>
        <v>-1459</v>
      </c>
      <c r="Q63" s="117"/>
      <c r="R63" s="117"/>
      <c r="S63" s="38">
        <f t="shared" si="40"/>
        <v>-1459</v>
      </c>
      <c r="T63" s="106"/>
      <c r="U63" s="116"/>
      <c r="V63" s="20">
        <f t="shared" si="41"/>
        <v>-1459</v>
      </c>
      <c r="W63" s="143"/>
    </row>
    <row r="64" spans="1:23" ht="15" customHeight="1">
      <c r="A64" s="114"/>
      <c r="B64" s="106"/>
      <c r="C64" s="107"/>
      <c r="D64" s="26">
        <f t="shared" si="35"/>
        <v>-1459</v>
      </c>
      <c r="E64" s="117"/>
      <c r="F64" s="117"/>
      <c r="G64" s="19">
        <f t="shared" si="36"/>
        <v>-1459</v>
      </c>
      <c r="H64" s="106"/>
      <c r="I64" s="107"/>
      <c r="J64" s="26">
        <f t="shared" si="37"/>
        <v>-1459</v>
      </c>
      <c r="K64" s="117"/>
      <c r="L64" s="117"/>
      <c r="M64" s="38">
        <f t="shared" si="38"/>
        <v>-1459</v>
      </c>
      <c r="N64" s="106"/>
      <c r="O64" s="107"/>
      <c r="P64" s="26">
        <f t="shared" si="39"/>
        <v>-1459</v>
      </c>
      <c r="Q64" s="117"/>
      <c r="R64" s="117"/>
      <c r="S64" s="38">
        <f t="shared" si="40"/>
        <v>-1459</v>
      </c>
      <c r="T64" s="106"/>
      <c r="U64" s="116"/>
      <c r="V64" s="20">
        <f t="shared" si="41"/>
        <v>-1459</v>
      </c>
      <c r="W64" s="143"/>
    </row>
    <row r="65" spans="1:23" ht="15" customHeight="1">
      <c r="A65" s="114"/>
      <c r="B65" s="106"/>
      <c r="C65" s="107"/>
      <c r="D65" s="26">
        <f t="shared" si="35"/>
        <v>-1459</v>
      </c>
      <c r="E65" s="117"/>
      <c r="F65" s="117"/>
      <c r="G65" s="19">
        <f t="shared" si="36"/>
        <v>-1459</v>
      </c>
      <c r="H65" s="106"/>
      <c r="I65" s="107"/>
      <c r="J65" s="26">
        <f t="shared" si="37"/>
        <v>-1459</v>
      </c>
      <c r="K65" s="117"/>
      <c r="L65" s="117"/>
      <c r="M65" s="38">
        <f t="shared" si="38"/>
        <v>-1459</v>
      </c>
      <c r="N65" s="106"/>
      <c r="O65" s="107"/>
      <c r="P65" s="26">
        <f t="shared" si="39"/>
        <v>-1459</v>
      </c>
      <c r="Q65" s="117"/>
      <c r="R65" s="117"/>
      <c r="S65" s="38">
        <f t="shared" si="40"/>
        <v>-1459</v>
      </c>
      <c r="T65" s="106"/>
      <c r="U65" s="116"/>
      <c r="V65" s="20">
        <f t="shared" si="41"/>
        <v>-1459</v>
      </c>
      <c r="W65" s="143"/>
    </row>
    <row r="66" spans="1:23" ht="15" customHeight="1">
      <c r="A66" s="114"/>
      <c r="B66" s="166"/>
      <c r="C66" s="167"/>
      <c r="D66" s="39">
        <f t="shared" si="35"/>
        <v>-1459</v>
      </c>
      <c r="E66" s="128"/>
      <c r="F66" s="128"/>
      <c r="G66" s="29">
        <f t="shared" si="36"/>
        <v>-1459</v>
      </c>
      <c r="H66" s="122"/>
      <c r="I66" s="123"/>
      <c r="J66" s="39">
        <f t="shared" si="37"/>
        <v>-1459</v>
      </c>
      <c r="K66" s="128"/>
      <c r="L66" s="128"/>
      <c r="M66" s="40">
        <f t="shared" si="38"/>
        <v>-1459</v>
      </c>
      <c r="N66" s="122"/>
      <c r="O66" s="123"/>
      <c r="P66" s="39">
        <f t="shared" si="39"/>
        <v>-1459</v>
      </c>
      <c r="Q66" s="128"/>
      <c r="R66" s="128"/>
      <c r="S66" s="40">
        <f t="shared" si="40"/>
        <v>-1459</v>
      </c>
      <c r="T66" s="122"/>
      <c r="U66" s="124"/>
      <c r="V66" s="49">
        <f t="shared" si="41"/>
        <v>-1459</v>
      </c>
      <c r="W66" s="143"/>
    </row>
    <row r="67" spans="1:23" ht="17.25" customHeight="1">
      <c r="A67" s="87"/>
      <c r="B67" s="77">
        <f ca="1">IFERROR(__xludf.DUMMYFUNCTION("DATE(VALUE(LEFT($B$2,4)),VALUE(MID($B$2,6,2)),VALUE(RIGHT($B$2,2)))
+ (VALUE(REGEXEXTRACT(INDIRECT(""A""&amp;ROW()+1),""\d+""))-1)*7
+ INT((COLUMN()-COLUMN($B67))/3)
"),46061)</f>
        <v>46061</v>
      </c>
      <c r="C67" s="81"/>
      <c r="D67" s="82"/>
      <c r="E67" s="77">
        <f ca="1">IFERROR(__xludf.DUMMYFUNCTION("DATE(VALUE(LEFT($B$2,4)),VALUE(MID($B$2,6,2)),VALUE(RIGHT($B$2,2)))
+ (VALUE(REGEXEXTRACT(INDIRECT(""A""&amp;ROW()+1),""\d+""))-1)*7
+ INT((COLUMN()-COLUMN($B67))/3)
"),46062)</f>
        <v>46062</v>
      </c>
      <c r="F67" s="81"/>
      <c r="G67" s="82"/>
      <c r="H67" s="77">
        <f ca="1">IFERROR(__xludf.DUMMYFUNCTION("DATE(VALUE(LEFT($B$2,4)),VALUE(MID($B$2,6,2)),VALUE(RIGHT($B$2,2)))
+ (VALUE(REGEXEXTRACT(INDIRECT(""A""&amp;ROW()+1),""\d+""))-1)*7
+ INT((COLUMN()-COLUMN($B67))/3)
"),46063)</f>
        <v>46063</v>
      </c>
      <c r="I67" s="81"/>
      <c r="J67" s="82"/>
      <c r="K67" s="77">
        <f ca="1">IFERROR(__xludf.DUMMYFUNCTION("DATE(VALUE(LEFT($B$2,4)),VALUE(MID($B$2,6,2)),VALUE(RIGHT($B$2,2)))
+ (VALUE(REGEXEXTRACT(INDIRECT(""A""&amp;ROW()+1),""\d+""))-1)*7
+ INT((COLUMN()-COLUMN($B67))/3)
"),46064)</f>
        <v>46064</v>
      </c>
      <c r="L67" s="81"/>
      <c r="M67" s="82"/>
      <c r="N67" s="77">
        <f ca="1">IFERROR(__xludf.DUMMYFUNCTION("DATE(VALUE(LEFT($B$2,4)),VALUE(MID($B$2,6,2)),VALUE(RIGHT($B$2,2)))
+ (VALUE(REGEXEXTRACT(INDIRECT(""A""&amp;ROW()+1),""\d+""))-1)*7
+ INT((COLUMN()-COLUMN($B67))/3)
"),46065)</f>
        <v>46065</v>
      </c>
      <c r="O67" s="81"/>
      <c r="P67" s="82"/>
      <c r="Q67" s="77">
        <f ca="1">IFERROR(__xludf.DUMMYFUNCTION("DATE(VALUE(LEFT($B$2,4)),VALUE(MID($B$2,6,2)),VALUE(RIGHT($B$2,2)))
+ (VALUE(REGEXEXTRACT(INDIRECT(""A""&amp;ROW()+1),""\d+""))-1)*7
+ INT((COLUMN()-COLUMN($B67))/3)
"),46066)</f>
        <v>46066</v>
      </c>
      <c r="R67" s="81"/>
      <c r="S67" s="82"/>
      <c r="T67" s="77">
        <f ca="1">IFERROR(__xludf.DUMMYFUNCTION("DATE(VALUE(LEFT($B$2,4)),VALUE(MID($B$2,6,2)),VALUE(RIGHT($B$2,2)))
+ (VALUE(REGEXEXTRACT(INDIRECT(""A""&amp;ROW()+1),""\d+""))-1)*7
+ INT((COLUMN()-COLUMN($B67))/3)
"),46067)</f>
        <v>46067</v>
      </c>
      <c r="U67" s="81"/>
      <c r="V67" s="82"/>
      <c r="W67" s="52" t="s">
        <v>20</v>
      </c>
    </row>
    <row r="68" spans="1:23" ht="17.25" customHeight="1">
      <c r="A68" s="47" t="s">
        <v>142</v>
      </c>
      <c r="B68" s="113"/>
      <c r="C68" s="109"/>
      <c r="D68" s="42">
        <f>V66+C68</f>
        <v>-1459</v>
      </c>
      <c r="E68" s="112"/>
      <c r="F68" s="111"/>
      <c r="G68" s="36">
        <f>D78+F68</f>
        <v>-1459</v>
      </c>
      <c r="H68" s="132"/>
      <c r="I68" s="109"/>
      <c r="J68" s="42">
        <f>G78+I68</f>
        <v>-1459</v>
      </c>
      <c r="K68" s="112"/>
      <c r="L68" s="111"/>
      <c r="M68" s="18">
        <f>J78+L68</f>
        <v>-1459</v>
      </c>
      <c r="N68" s="113"/>
      <c r="O68" s="109"/>
      <c r="P68" s="35">
        <f>M78+O68</f>
        <v>-1459</v>
      </c>
      <c r="Q68" s="112"/>
      <c r="R68" s="111"/>
      <c r="S68" s="18">
        <f>P78+R68</f>
        <v>-1459</v>
      </c>
      <c r="T68" s="113"/>
      <c r="U68" s="109"/>
      <c r="V68" s="50">
        <f>S78+U68</f>
        <v>-1459</v>
      </c>
      <c r="W68" s="172"/>
    </row>
    <row r="69" spans="1:23" ht="15" customHeight="1">
      <c r="A69" s="114"/>
      <c r="B69" s="118"/>
      <c r="C69" s="117"/>
      <c r="D69" s="19">
        <f t="shared" ref="D69:D78" si="42">D68+C69</f>
        <v>-1459</v>
      </c>
      <c r="E69" s="106"/>
      <c r="F69" s="107"/>
      <c r="G69" s="26">
        <f t="shared" ref="G69:G78" si="43">G68+F69</f>
        <v>-1459</v>
      </c>
      <c r="H69" s="133"/>
      <c r="I69" s="117"/>
      <c r="J69" s="19">
        <f t="shared" ref="J69:J78" si="44">J68+I69</f>
        <v>-1459</v>
      </c>
      <c r="K69" s="106"/>
      <c r="L69" s="107"/>
      <c r="M69" s="26">
        <f t="shared" ref="M69:M78" si="45">M68+L69</f>
        <v>-1459</v>
      </c>
      <c r="N69" s="118"/>
      <c r="O69" s="117"/>
      <c r="P69" s="38">
        <f t="shared" ref="P69:P78" si="46">P68+O69</f>
        <v>-1459</v>
      </c>
      <c r="Q69" s="106"/>
      <c r="R69" s="107"/>
      <c r="S69" s="26">
        <f t="shared" ref="S69:S78" si="47">S68+R69</f>
        <v>-1459</v>
      </c>
      <c r="T69" s="117"/>
      <c r="U69" s="117"/>
      <c r="V69" s="45">
        <f t="shared" ref="V69:V78" si="48">V68+U69</f>
        <v>-1459</v>
      </c>
      <c r="W69" s="143"/>
    </row>
    <row r="70" spans="1:23" ht="15" customHeight="1">
      <c r="A70" s="114"/>
      <c r="B70" s="118"/>
      <c r="C70" s="117"/>
      <c r="D70" s="19">
        <f t="shared" si="42"/>
        <v>-1459</v>
      </c>
      <c r="E70" s="106"/>
      <c r="F70" s="107"/>
      <c r="G70" s="26">
        <f t="shared" si="43"/>
        <v>-1459</v>
      </c>
      <c r="H70" s="133"/>
      <c r="I70" s="117"/>
      <c r="J70" s="19">
        <f t="shared" si="44"/>
        <v>-1459</v>
      </c>
      <c r="K70" s="106"/>
      <c r="L70" s="107"/>
      <c r="M70" s="26">
        <f t="shared" si="45"/>
        <v>-1459</v>
      </c>
      <c r="N70" s="117"/>
      <c r="O70" s="117"/>
      <c r="P70" s="38">
        <f t="shared" si="46"/>
        <v>-1459</v>
      </c>
      <c r="Q70" s="106"/>
      <c r="R70" s="107"/>
      <c r="S70" s="26">
        <f t="shared" si="47"/>
        <v>-1459</v>
      </c>
      <c r="T70" s="117"/>
      <c r="U70" s="117"/>
      <c r="V70" s="45">
        <f t="shared" si="48"/>
        <v>-1459</v>
      </c>
      <c r="W70" s="143"/>
    </row>
    <row r="71" spans="1:23" ht="15" customHeight="1">
      <c r="A71" s="114"/>
      <c r="B71" s="118"/>
      <c r="C71" s="117"/>
      <c r="D71" s="19">
        <f t="shared" si="42"/>
        <v>-1459</v>
      </c>
      <c r="E71" s="106"/>
      <c r="F71" s="107"/>
      <c r="G71" s="26">
        <f t="shared" si="43"/>
        <v>-1459</v>
      </c>
      <c r="H71" s="117"/>
      <c r="I71" s="117"/>
      <c r="J71" s="19">
        <f t="shared" si="44"/>
        <v>-1459</v>
      </c>
      <c r="K71" s="106"/>
      <c r="L71" s="107"/>
      <c r="M71" s="26">
        <f t="shared" si="45"/>
        <v>-1459</v>
      </c>
      <c r="N71" s="117"/>
      <c r="O71" s="117"/>
      <c r="P71" s="38">
        <f t="shared" si="46"/>
        <v>-1459</v>
      </c>
      <c r="Q71" s="106"/>
      <c r="R71" s="107"/>
      <c r="S71" s="26">
        <f t="shared" si="47"/>
        <v>-1459</v>
      </c>
      <c r="T71" s="117"/>
      <c r="U71" s="117"/>
      <c r="V71" s="45">
        <f t="shared" si="48"/>
        <v>-1459</v>
      </c>
      <c r="W71" s="143"/>
    </row>
    <row r="72" spans="1:23" ht="15" customHeight="1">
      <c r="A72" s="114"/>
      <c r="B72" s="118"/>
      <c r="C72" s="117"/>
      <c r="D72" s="19">
        <f t="shared" si="42"/>
        <v>-1459</v>
      </c>
      <c r="E72" s="106"/>
      <c r="F72" s="107"/>
      <c r="G72" s="26">
        <f t="shared" si="43"/>
        <v>-1459</v>
      </c>
      <c r="H72" s="117"/>
      <c r="I72" s="117"/>
      <c r="J72" s="19">
        <f t="shared" si="44"/>
        <v>-1459</v>
      </c>
      <c r="K72" s="106"/>
      <c r="L72" s="107"/>
      <c r="M72" s="26">
        <f t="shared" si="45"/>
        <v>-1459</v>
      </c>
      <c r="N72" s="117"/>
      <c r="O72" s="117"/>
      <c r="P72" s="38">
        <f t="shared" si="46"/>
        <v>-1459</v>
      </c>
      <c r="Q72" s="106"/>
      <c r="R72" s="107"/>
      <c r="S72" s="26">
        <f t="shared" si="47"/>
        <v>-1459</v>
      </c>
      <c r="T72" s="136"/>
      <c r="U72" s="136"/>
      <c r="V72" s="45">
        <f t="shared" si="48"/>
        <v>-1459</v>
      </c>
      <c r="W72" s="143"/>
    </row>
    <row r="73" spans="1:23" ht="15" customHeight="1">
      <c r="A73" s="114"/>
      <c r="B73" s="118"/>
      <c r="C73" s="117"/>
      <c r="D73" s="19">
        <f t="shared" si="42"/>
        <v>-1459</v>
      </c>
      <c r="E73" s="106"/>
      <c r="F73" s="107"/>
      <c r="G73" s="26">
        <f t="shared" si="43"/>
        <v>-1459</v>
      </c>
      <c r="H73" s="117"/>
      <c r="I73" s="117"/>
      <c r="J73" s="19">
        <f t="shared" si="44"/>
        <v>-1459</v>
      </c>
      <c r="K73" s="106"/>
      <c r="L73" s="107"/>
      <c r="M73" s="26">
        <f t="shared" si="45"/>
        <v>-1459</v>
      </c>
      <c r="N73" s="117"/>
      <c r="O73" s="117"/>
      <c r="P73" s="38">
        <f t="shared" si="46"/>
        <v>-1459</v>
      </c>
      <c r="Q73" s="106"/>
      <c r="R73" s="107"/>
      <c r="S73" s="26">
        <f t="shared" si="47"/>
        <v>-1459</v>
      </c>
      <c r="T73" s="136"/>
      <c r="U73" s="136"/>
      <c r="V73" s="45">
        <f t="shared" si="48"/>
        <v>-1459</v>
      </c>
      <c r="W73" s="143"/>
    </row>
    <row r="74" spans="1:23" ht="15" customHeight="1">
      <c r="A74" s="114"/>
      <c r="B74" s="117"/>
      <c r="C74" s="117"/>
      <c r="D74" s="19">
        <f t="shared" si="42"/>
        <v>-1459</v>
      </c>
      <c r="E74" s="106"/>
      <c r="F74" s="107"/>
      <c r="G74" s="26">
        <f t="shared" si="43"/>
        <v>-1459</v>
      </c>
      <c r="H74" s="117"/>
      <c r="I74" s="117"/>
      <c r="J74" s="19">
        <f t="shared" si="44"/>
        <v>-1459</v>
      </c>
      <c r="K74" s="106"/>
      <c r="L74" s="107"/>
      <c r="M74" s="26">
        <f t="shared" si="45"/>
        <v>-1459</v>
      </c>
      <c r="N74" s="117"/>
      <c r="O74" s="117"/>
      <c r="P74" s="38">
        <f t="shared" si="46"/>
        <v>-1459</v>
      </c>
      <c r="Q74" s="106"/>
      <c r="R74" s="107"/>
      <c r="S74" s="26">
        <f t="shared" si="47"/>
        <v>-1459</v>
      </c>
      <c r="T74" s="133"/>
      <c r="U74" s="117"/>
      <c r="V74" s="45">
        <f t="shared" si="48"/>
        <v>-1459</v>
      </c>
      <c r="W74" s="143"/>
    </row>
    <row r="75" spans="1:23" ht="15" customHeight="1">
      <c r="A75" s="114"/>
      <c r="B75" s="117"/>
      <c r="C75" s="117"/>
      <c r="D75" s="19">
        <f t="shared" si="42"/>
        <v>-1459</v>
      </c>
      <c r="E75" s="106"/>
      <c r="F75" s="107"/>
      <c r="G75" s="26">
        <f t="shared" si="43"/>
        <v>-1459</v>
      </c>
      <c r="H75" s="117"/>
      <c r="I75" s="117"/>
      <c r="J75" s="19">
        <f t="shared" si="44"/>
        <v>-1459</v>
      </c>
      <c r="K75" s="106"/>
      <c r="L75" s="107"/>
      <c r="M75" s="26">
        <f t="shared" si="45"/>
        <v>-1459</v>
      </c>
      <c r="N75" s="117"/>
      <c r="O75" s="117"/>
      <c r="P75" s="38">
        <f t="shared" si="46"/>
        <v>-1459</v>
      </c>
      <c r="Q75" s="106"/>
      <c r="R75" s="107"/>
      <c r="S75" s="26">
        <f t="shared" si="47"/>
        <v>-1459</v>
      </c>
      <c r="T75" s="133"/>
      <c r="U75" s="117"/>
      <c r="V75" s="45">
        <f t="shared" si="48"/>
        <v>-1459</v>
      </c>
      <c r="W75" s="143"/>
    </row>
    <row r="76" spans="1:23" ht="15" customHeight="1">
      <c r="A76" s="114"/>
      <c r="B76" s="117"/>
      <c r="C76" s="117"/>
      <c r="D76" s="19">
        <f t="shared" si="42"/>
        <v>-1459</v>
      </c>
      <c r="E76" s="106"/>
      <c r="F76" s="107"/>
      <c r="G76" s="26">
        <f t="shared" si="43"/>
        <v>-1459</v>
      </c>
      <c r="H76" s="117"/>
      <c r="I76" s="117"/>
      <c r="J76" s="19">
        <f t="shared" si="44"/>
        <v>-1459</v>
      </c>
      <c r="K76" s="106"/>
      <c r="L76" s="107"/>
      <c r="M76" s="26">
        <f t="shared" si="45"/>
        <v>-1459</v>
      </c>
      <c r="N76" s="117"/>
      <c r="O76" s="117"/>
      <c r="P76" s="38">
        <f t="shared" si="46"/>
        <v>-1459</v>
      </c>
      <c r="Q76" s="106"/>
      <c r="R76" s="107"/>
      <c r="S76" s="26">
        <f t="shared" si="47"/>
        <v>-1459</v>
      </c>
      <c r="T76" s="117"/>
      <c r="U76" s="117"/>
      <c r="V76" s="45">
        <f t="shared" si="48"/>
        <v>-1459</v>
      </c>
      <c r="W76" s="143"/>
    </row>
    <row r="77" spans="1:23" ht="15" customHeight="1">
      <c r="A77" s="114"/>
      <c r="B77" s="117"/>
      <c r="C77" s="117"/>
      <c r="D77" s="19">
        <f t="shared" si="42"/>
        <v>-1459</v>
      </c>
      <c r="E77" s="122"/>
      <c r="F77" s="123"/>
      <c r="G77" s="26">
        <f t="shared" si="43"/>
        <v>-1459</v>
      </c>
      <c r="H77" s="133"/>
      <c r="I77" s="117"/>
      <c r="J77" s="19">
        <f t="shared" si="44"/>
        <v>-1459</v>
      </c>
      <c r="K77" s="122"/>
      <c r="L77" s="123"/>
      <c r="M77" s="26">
        <f t="shared" si="45"/>
        <v>-1459</v>
      </c>
      <c r="N77" s="117"/>
      <c r="O77" s="117"/>
      <c r="P77" s="38">
        <f t="shared" si="46"/>
        <v>-1459</v>
      </c>
      <c r="Q77" s="122"/>
      <c r="R77" s="123"/>
      <c r="S77" s="26">
        <f t="shared" si="47"/>
        <v>-1459</v>
      </c>
      <c r="T77" s="136"/>
      <c r="U77" s="136"/>
      <c r="V77" s="45">
        <f t="shared" si="48"/>
        <v>-1459</v>
      </c>
      <c r="W77" s="143"/>
    </row>
    <row r="78" spans="1:23" ht="15" customHeight="1">
      <c r="A78" s="114"/>
      <c r="B78" s="128"/>
      <c r="C78" s="128"/>
      <c r="D78" s="29">
        <f t="shared" si="42"/>
        <v>-1459</v>
      </c>
      <c r="E78" s="122"/>
      <c r="F78" s="123"/>
      <c r="G78" s="53">
        <f t="shared" si="43"/>
        <v>-1459</v>
      </c>
      <c r="H78" s="140"/>
      <c r="I78" s="128"/>
      <c r="J78" s="29">
        <f t="shared" si="44"/>
        <v>-1459</v>
      </c>
      <c r="K78" s="122"/>
      <c r="L78" s="123"/>
      <c r="M78" s="39">
        <f t="shared" si="45"/>
        <v>-1459</v>
      </c>
      <c r="N78" s="128"/>
      <c r="O78" s="128"/>
      <c r="P78" s="40">
        <f t="shared" si="46"/>
        <v>-1459</v>
      </c>
      <c r="Q78" s="122"/>
      <c r="R78" s="123"/>
      <c r="S78" s="39">
        <f t="shared" si="47"/>
        <v>-1459</v>
      </c>
      <c r="T78" s="141"/>
      <c r="U78" s="141"/>
      <c r="V78" s="46">
        <f t="shared" si="48"/>
        <v>-1459</v>
      </c>
      <c r="W78" s="143"/>
    </row>
    <row r="79" spans="1:23" ht="17.25" customHeight="1">
      <c r="A79" s="87"/>
      <c r="B79" s="77">
        <f ca="1">IFERROR(__xludf.DUMMYFUNCTION("DATE(VALUE(LEFT($B$2,4)),VALUE(MID($B$2,6,2)),VALUE(RIGHT($B$2,2)))
+ (VALUE(REGEXEXTRACT(INDIRECT(""A""&amp;ROW()+1),""\d+""))-1)*7
+ INT((COLUMN()-COLUMN($B79))/3)
"),46068)</f>
        <v>46068</v>
      </c>
      <c r="C79" s="81"/>
      <c r="D79" s="82"/>
      <c r="E79" s="77">
        <f ca="1">IFERROR(__xludf.DUMMYFUNCTION("DATE(VALUE(LEFT($B$2,4)),VALUE(MID($B$2,6,2)),VALUE(RIGHT($B$2,2)))
+ (VALUE(REGEXEXTRACT(INDIRECT(""A""&amp;ROW()+1),""\d+""))-1)*7
+ INT((COLUMN()-COLUMN($B79))/3)
"),46069)</f>
        <v>46069</v>
      </c>
      <c r="F79" s="81"/>
      <c r="G79" s="82"/>
      <c r="H79" s="77">
        <f ca="1">IFERROR(__xludf.DUMMYFUNCTION("DATE(VALUE(LEFT($B$2,4)),VALUE(MID($B$2,6,2)),VALUE(RIGHT($B$2,2)))
+ (VALUE(REGEXEXTRACT(INDIRECT(""A""&amp;ROW()+1),""\d+""))-1)*7
+ INT((COLUMN()-COLUMN($B79))/3)
"),46070)</f>
        <v>46070</v>
      </c>
      <c r="I79" s="81"/>
      <c r="J79" s="82"/>
      <c r="K79" s="77">
        <f ca="1">IFERROR(__xludf.DUMMYFUNCTION("DATE(VALUE(LEFT($B$2,4)),VALUE(MID($B$2,6,2)),VALUE(RIGHT($B$2,2)))
+ (VALUE(REGEXEXTRACT(INDIRECT(""A""&amp;ROW()+1),""\d+""))-1)*7
+ INT((COLUMN()-COLUMN($B79))/3)
"),46071)</f>
        <v>46071</v>
      </c>
      <c r="L79" s="81"/>
      <c r="M79" s="82"/>
      <c r="N79" s="77">
        <f ca="1">IFERROR(__xludf.DUMMYFUNCTION("DATE(VALUE(LEFT($B$2,4)),VALUE(MID($B$2,6,2)),VALUE(RIGHT($B$2,2)))
+ (VALUE(REGEXEXTRACT(INDIRECT(""A""&amp;ROW()+1),""\d+""))-1)*7
+ INT((COLUMN()-COLUMN($B79))/3)
"),46072)</f>
        <v>46072</v>
      </c>
      <c r="O79" s="81"/>
      <c r="P79" s="82"/>
      <c r="Q79" s="77">
        <f ca="1">IFERROR(__xludf.DUMMYFUNCTION("DATE(VALUE(LEFT($B$2,4)),VALUE(MID($B$2,6,2)),VALUE(RIGHT($B$2,2)))
+ (VALUE(REGEXEXTRACT(INDIRECT(""A""&amp;ROW()+1),""\d+""))-1)*7
+ INT((COLUMN()-COLUMN($B79))/3)
"),46073)</f>
        <v>46073</v>
      </c>
      <c r="R79" s="81"/>
      <c r="S79" s="82"/>
      <c r="T79" s="77">
        <f ca="1">IFERROR(__xludf.DUMMYFUNCTION("DATE(VALUE(LEFT($B$2,4)),VALUE(MID($B$2,6,2)),VALUE(RIGHT($B$2,2)))
+ (VALUE(REGEXEXTRACT(INDIRECT(""A""&amp;ROW()+1),""\d+""))-1)*7
+ INT((COLUMN()-COLUMN($B79))/3)
"),46074)</f>
        <v>46074</v>
      </c>
      <c r="U79" s="81"/>
      <c r="V79" s="82"/>
      <c r="W79" s="143"/>
    </row>
    <row r="80" spans="1:23" ht="15" customHeight="1">
      <c r="A80" s="51" t="s">
        <v>143</v>
      </c>
      <c r="B80" s="112"/>
      <c r="C80" s="111"/>
      <c r="D80" s="17">
        <f>V78+C80</f>
        <v>-1459</v>
      </c>
      <c r="E80" s="109"/>
      <c r="F80" s="109"/>
      <c r="G80" s="42">
        <f>D90+F80</f>
        <v>-1459</v>
      </c>
      <c r="H80" s="112"/>
      <c r="I80" s="111"/>
      <c r="J80" s="17">
        <f>G90+I80</f>
        <v>-1459</v>
      </c>
      <c r="K80" s="173"/>
      <c r="L80" s="109"/>
      <c r="M80" s="35">
        <f>J90+L80</f>
        <v>-1459</v>
      </c>
      <c r="N80" s="112"/>
      <c r="O80" s="111"/>
      <c r="P80" s="17">
        <f>M90+O80</f>
        <v>-1459</v>
      </c>
      <c r="Q80" s="109"/>
      <c r="R80" s="109"/>
      <c r="S80" s="35">
        <f>P90+R80</f>
        <v>-1459</v>
      </c>
      <c r="T80" s="112"/>
      <c r="U80" s="111"/>
      <c r="V80" s="48">
        <f>S90+U80</f>
        <v>-1459</v>
      </c>
      <c r="W80" s="143"/>
    </row>
    <row r="81" spans="1:26" ht="15" customHeight="1">
      <c r="A81" s="114"/>
      <c r="B81" s="106"/>
      <c r="C81" s="107"/>
      <c r="D81" s="26">
        <f t="shared" ref="D81:D90" si="49">D80+C81</f>
        <v>-1459</v>
      </c>
      <c r="E81" s="117"/>
      <c r="F81" s="117"/>
      <c r="G81" s="19">
        <f t="shared" ref="G81:G90" si="50">G80+F81</f>
        <v>-1459</v>
      </c>
      <c r="H81" s="106"/>
      <c r="I81" s="107"/>
      <c r="J81" s="26">
        <f t="shared" ref="J81:J90" si="51">J80+I81</f>
        <v>-1459</v>
      </c>
      <c r="K81" s="136"/>
      <c r="L81" s="136"/>
      <c r="M81" s="38">
        <f t="shared" ref="M81:M90" si="52">M80+L81</f>
        <v>-1459</v>
      </c>
      <c r="N81" s="106"/>
      <c r="O81" s="107"/>
      <c r="P81" s="26">
        <f t="shared" ref="P81:P90" si="53">P80+O81</f>
        <v>-1459</v>
      </c>
      <c r="Q81" s="117"/>
      <c r="R81" s="117"/>
      <c r="S81" s="38">
        <f t="shared" ref="S81:S90" si="54">S80+R81</f>
        <v>-1459</v>
      </c>
      <c r="T81" s="106"/>
      <c r="U81" s="107"/>
      <c r="V81" s="20">
        <f t="shared" ref="V81:V90" si="55">V80+U81</f>
        <v>-1459</v>
      </c>
      <c r="W81" s="143"/>
    </row>
    <row r="82" spans="1:26" ht="15" customHeight="1">
      <c r="A82" s="114"/>
      <c r="B82" s="106"/>
      <c r="C82" s="107"/>
      <c r="D82" s="26">
        <f t="shared" si="49"/>
        <v>-1459</v>
      </c>
      <c r="E82" s="117"/>
      <c r="F82" s="117"/>
      <c r="G82" s="19">
        <f t="shared" si="50"/>
        <v>-1459</v>
      </c>
      <c r="H82" s="106"/>
      <c r="I82" s="107"/>
      <c r="J82" s="26">
        <f t="shared" si="51"/>
        <v>-1459</v>
      </c>
      <c r="K82" s="136"/>
      <c r="L82" s="136"/>
      <c r="M82" s="38">
        <f t="shared" si="52"/>
        <v>-1459</v>
      </c>
      <c r="N82" s="106"/>
      <c r="O82" s="107"/>
      <c r="P82" s="26">
        <f t="shared" si="53"/>
        <v>-1459</v>
      </c>
      <c r="Q82" s="117"/>
      <c r="R82" s="117"/>
      <c r="S82" s="38">
        <f t="shared" si="54"/>
        <v>-1459</v>
      </c>
      <c r="T82" s="106"/>
      <c r="U82" s="107"/>
      <c r="V82" s="20">
        <f t="shared" si="55"/>
        <v>-1459</v>
      </c>
      <c r="W82" s="143"/>
    </row>
    <row r="83" spans="1:26" ht="15" customHeight="1">
      <c r="A83" s="114"/>
      <c r="B83" s="106"/>
      <c r="C83" s="107"/>
      <c r="D83" s="26">
        <f t="shared" si="49"/>
        <v>-1459</v>
      </c>
      <c r="E83" s="117"/>
      <c r="F83" s="117"/>
      <c r="G83" s="19">
        <f t="shared" si="50"/>
        <v>-1459</v>
      </c>
      <c r="H83" s="106"/>
      <c r="I83" s="107"/>
      <c r="J83" s="26">
        <f t="shared" si="51"/>
        <v>-1459</v>
      </c>
      <c r="K83" s="136"/>
      <c r="L83" s="136"/>
      <c r="M83" s="38">
        <f t="shared" si="52"/>
        <v>-1459</v>
      </c>
      <c r="N83" s="106"/>
      <c r="O83" s="107"/>
      <c r="P83" s="26">
        <f t="shared" si="53"/>
        <v>-1459</v>
      </c>
      <c r="Q83" s="117"/>
      <c r="R83" s="117"/>
      <c r="S83" s="38">
        <f t="shared" si="54"/>
        <v>-1459</v>
      </c>
      <c r="T83" s="106"/>
      <c r="U83" s="107"/>
      <c r="V83" s="20">
        <f t="shared" si="55"/>
        <v>-1459</v>
      </c>
      <c r="W83" s="143"/>
    </row>
    <row r="84" spans="1:26" ht="15" customHeight="1">
      <c r="A84" s="114"/>
      <c r="B84" s="106"/>
      <c r="C84" s="107"/>
      <c r="D84" s="26">
        <f t="shared" si="49"/>
        <v>-1459</v>
      </c>
      <c r="E84" s="117"/>
      <c r="F84" s="117"/>
      <c r="G84" s="19">
        <f t="shared" si="50"/>
        <v>-1459</v>
      </c>
      <c r="H84" s="106"/>
      <c r="I84" s="107"/>
      <c r="J84" s="26">
        <f t="shared" si="51"/>
        <v>-1459</v>
      </c>
      <c r="K84" s="136"/>
      <c r="L84" s="136"/>
      <c r="M84" s="38">
        <f t="shared" si="52"/>
        <v>-1459</v>
      </c>
      <c r="N84" s="106"/>
      <c r="O84" s="107"/>
      <c r="P84" s="26">
        <f t="shared" si="53"/>
        <v>-1459</v>
      </c>
      <c r="Q84" s="117"/>
      <c r="R84" s="117"/>
      <c r="S84" s="38">
        <f t="shared" si="54"/>
        <v>-1459</v>
      </c>
      <c r="T84" s="106"/>
      <c r="U84" s="107"/>
      <c r="V84" s="20">
        <f t="shared" si="55"/>
        <v>-1459</v>
      </c>
      <c r="W84" s="143"/>
    </row>
    <row r="85" spans="1:26" ht="15" customHeight="1">
      <c r="A85" s="114"/>
      <c r="B85" s="106"/>
      <c r="C85" s="107"/>
      <c r="D85" s="26">
        <f t="shared" si="49"/>
        <v>-1459</v>
      </c>
      <c r="E85" s="117"/>
      <c r="F85" s="117"/>
      <c r="G85" s="19">
        <f t="shared" si="50"/>
        <v>-1459</v>
      </c>
      <c r="H85" s="106"/>
      <c r="I85" s="107"/>
      <c r="J85" s="26">
        <f t="shared" si="51"/>
        <v>-1459</v>
      </c>
      <c r="K85" s="136"/>
      <c r="L85" s="136"/>
      <c r="M85" s="38">
        <f t="shared" si="52"/>
        <v>-1459</v>
      </c>
      <c r="N85" s="106"/>
      <c r="O85" s="107"/>
      <c r="P85" s="26">
        <f t="shared" si="53"/>
        <v>-1459</v>
      </c>
      <c r="Q85" s="117"/>
      <c r="R85" s="117"/>
      <c r="S85" s="38">
        <f t="shared" si="54"/>
        <v>-1459</v>
      </c>
      <c r="T85" s="106"/>
      <c r="U85" s="116"/>
      <c r="V85" s="20">
        <f t="shared" si="55"/>
        <v>-1459</v>
      </c>
      <c r="W85" s="143"/>
    </row>
    <row r="86" spans="1:26" ht="15" customHeight="1">
      <c r="A86" s="114"/>
      <c r="B86" s="106"/>
      <c r="C86" s="107"/>
      <c r="D86" s="26">
        <f t="shared" si="49"/>
        <v>-1459</v>
      </c>
      <c r="E86" s="117"/>
      <c r="F86" s="117"/>
      <c r="G86" s="19">
        <f t="shared" si="50"/>
        <v>-1459</v>
      </c>
      <c r="H86" s="106"/>
      <c r="I86" s="107"/>
      <c r="J86" s="26">
        <f t="shared" si="51"/>
        <v>-1459</v>
      </c>
      <c r="K86" s="136"/>
      <c r="L86" s="136"/>
      <c r="M86" s="38">
        <f t="shared" si="52"/>
        <v>-1459</v>
      </c>
      <c r="N86" s="106"/>
      <c r="O86" s="107"/>
      <c r="P86" s="26">
        <f t="shared" si="53"/>
        <v>-1459</v>
      </c>
      <c r="Q86" s="117"/>
      <c r="R86" s="117"/>
      <c r="S86" s="38">
        <f t="shared" si="54"/>
        <v>-1459</v>
      </c>
      <c r="T86" s="106"/>
      <c r="U86" s="116"/>
      <c r="V86" s="20">
        <f t="shared" si="55"/>
        <v>-1459</v>
      </c>
      <c r="W86" s="143"/>
    </row>
    <row r="87" spans="1:26" ht="15" customHeight="1">
      <c r="A87" s="114"/>
      <c r="B87" s="106"/>
      <c r="C87" s="107"/>
      <c r="D87" s="26">
        <f t="shared" si="49"/>
        <v>-1459</v>
      </c>
      <c r="E87" s="117"/>
      <c r="F87" s="117"/>
      <c r="G87" s="19">
        <f t="shared" si="50"/>
        <v>-1459</v>
      </c>
      <c r="H87" s="106"/>
      <c r="I87" s="107"/>
      <c r="J87" s="26">
        <f t="shared" si="51"/>
        <v>-1459</v>
      </c>
      <c r="K87" s="133"/>
      <c r="L87" s="117"/>
      <c r="M87" s="38">
        <f t="shared" si="52"/>
        <v>-1459</v>
      </c>
      <c r="N87" s="106"/>
      <c r="O87" s="107"/>
      <c r="P87" s="26">
        <f t="shared" si="53"/>
        <v>-1459</v>
      </c>
      <c r="Q87" s="117"/>
      <c r="R87" s="117"/>
      <c r="S87" s="38">
        <f t="shared" si="54"/>
        <v>-1459</v>
      </c>
      <c r="T87" s="106"/>
      <c r="U87" s="116"/>
      <c r="V87" s="20">
        <f t="shared" si="55"/>
        <v>-1459</v>
      </c>
      <c r="W87" s="143"/>
    </row>
    <row r="88" spans="1:26" ht="15" customHeight="1">
      <c r="A88" s="114"/>
      <c r="B88" s="106"/>
      <c r="C88" s="107"/>
      <c r="D88" s="26">
        <f t="shared" si="49"/>
        <v>-1459</v>
      </c>
      <c r="E88" s="117"/>
      <c r="F88" s="117"/>
      <c r="G88" s="19">
        <f t="shared" si="50"/>
        <v>-1459</v>
      </c>
      <c r="H88" s="122"/>
      <c r="I88" s="123"/>
      <c r="J88" s="26">
        <f t="shared" si="51"/>
        <v>-1459</v>
      </c>
      <c r="K88" s="117"/>
      <c r="L88" s="117"/>
      <c r="M88" s="38">
        <f t="shared" si="52"/>
        <v>-1459</v>
      </c>
      <c r="N88" s="122"/>
      <c r="O88" s="123"/>
      <c r="P88" s="26">
        <f t="shared" si="53"/>
        <v>-1459</v>
      </c>
      <c r="Q88" s="117"/>
      <c r="R88" s="117"/>
      <c r="S88" s="38">
        <f t="shared" si="54"/>
        <v>-1459</v>
      </c>
      <c r="T88" s="106"/>
      <c r="U88" s="116"/>
      <c r="V88" s="20">
        <f t="shared" si="55"/>
        <v>-1459</v>
      </c>
      <c r="W88" s="143"/>
    </row>
    <row r="89" spans="1:26" ht="15" customHeight="1">
      <c r="A89" s="114"/>
      <c r="B89" s="106"/>
      <c r="C89" s="107"/>
      <c r="D89" s="26">
        <f t="shared" si="49"/>
        <v>-1459</v>
      </c>
      <c r="E89" s="117"/>
      <c r="F89" s="117"/>
      <c r="G89" s="19">
        <f t="shared" si="50"/>
        <v>-1459</v>
      </c>
      <c r="H89" s="122"/>
      <c r="I89" s="123"/>
      <c r="J89" s="26">
        <f t="shared" si="51"/>
        <v>-1459</v>
      </c>
      <c r="K89" s="117"/>
      <c r="L89" s="117"/>
      <c r="M89" s="38">
        <f t="shared" si="52"/>
        <v>-1459</v>
      </c>
      <c r="N89" s="122"/>
      <c r="O89" s="123"/>
      <c r="P89" s="26">
        <f t="shared" si="53"/>
        <v>-1459</v>
      </c>
      <c r="Q89" s="117"/>
      <c r="R89" s="117"/>
      <c r="S89" s="38">
        <f t="shared" si="54"/>
        <v>-1459</v>
      </c>
      <c r="T89" s="122"/>
      <c r="U89" s="124"/>
      <c r="V89" s="20">
        <f t="shared" si="55"/>
        <v>-1459</v>
      </c>
      <c r="W89" s="143"/>
    </row>
    <row r="90" spans="1:26" ht="15" customHeight="1">
      <c r="A90" s="114"/>
      <c r="B90" s="122"/>
      <c r="C90" s="123"/>
      <c r="D90" s="39">
        <f t="shared" si="49"/>
        <v>-1459</v>
      </c>
      <c r="E90" s="128"/>
      <c r="F90" s="128"/>
      <c r="G90" s="29">
        <f t="shared" si="50"/>
        <v>-1459</v>
      </c>
      <c r="H90" s="122"/>
      <c r="I90" s="123"/>
      <c r="J90" s="39">
        <f t="shared" si="51"/>
        <v>-1459</v>
      </c>
      <c r="K90" s="128"/>
      <c r="L90" s="128"/>
      <c r="M90" s="40">
        <f t="shared" si="52"/>
        <v>-1459</v>
      </c>
      <c r="N90" s="122"/>
      <c r="O90" s="123"/>
      <c r="P90" s="39">
        <f t="shared" si="53"/>
        <v>-1459</v>
      </c>
      <c r="Q90" s="128"/>
      <c r="R90" s="128"/>
      <c r="S90" s="40">
        <f t="shared" si="54"/>
        <v>-1459</v>
      </c>
      <c r="T90" s="122"/>
      <c r="U90" s="123"/>
      <c r="V90" s="39">
        <f t="shared" si="55"/>
        <v>-1459</v>
      </c>
      <c r="W90" s="143"/>
    </row>
    <row r="91" spans="1:26" ht="15.75" customHeight="1">
      <c r="A91" s="87"/>
      <c r="B91" s="77">
        <f ca="1">IFERROR(__xludf.DUMMYFUNCTION("DATE(VALUE(LEFT($B$2,4)),VALUE(MID($B$2,6,2)),VALUE(RIGHT($B$2,2)))
+ (VALUE(REGEXEXTRACT(INDIRECT(""A""&amp;ROW()+1),""\d+""))-1)*7
+ INT((COLUMN()-COLUMN($B91))/3)
"),46075)</f>
        <v>46075</v>
      </c>
      <c r="C91" s="81"/>
      <c r="D91" s="82"/>
      <c r="E91" s="77">
        <f ca="1">IFERROR(__xludf.DUMMYFUNCTION("DATE(VALUE(LEFT($B$2,4)),VALUE(MID($B$2,6,2)),VALUE(RIGHT($B$2,2)))
+ (VALUE(REGEXEXTRACT(INDIRECT(""A""&amp;ROW()+1),""\d+""))-1)*7
+ INT((COLUMN()-COLUMN($B91))/3)
"),46076)</f>
        <v>46076</v>
      </c>
      <c r="F91" s="81"/>
      <c r="G91" s="82"/>
      <c r="H91" s="77">
        <f ca="1">IFERROR(__xludf.DUMMYFUNCTION("DATE(VALUE(LEFT($B$2,4)),VALUE(MID($B$2,6,2)),VALUE(RIGHT($B$2,2)))
+ (VALUE(REGEXEXTRACT(INDIRECT(""A""&amp;ROW()+1),""\d+""))-1)*7
+ INT((COLUMN()-COLUMN($B91))/3)
"),46077)</f>
        <v>46077</v>
      </c>
      <c r="I91" s="81"/>
      <c r="J91" s="82"/>
      <c r="K91" s="77">
        <f ca="1">IFERROR(__xludf.DUMMYFUNCTION("DATE(VALUE(LEFT($B$2,4)),VALUE(MID($B$2,6,2)),VALUE(RIGHT($B$2,2)))
+ (VALUE(REGEXEXTRACT(INDIRECT(""A""&amp;ROW()+1),""\d+""))-1)*7
+ INT((COLUMN()-COLUMN($B91))/3)
"),46078)</f>
        <v>46078</v>
      </c>
      <c r="L91" s="81"/>
      <c r="M91" s="82"/>
      <c r="N91" s="77">
        <f ca="1">IFERROR(__xludf.DUMMYFUNCTION("DATE(VALUE(LEFT($B$2,4)),VALUE(MID($B$2,6,2)),VALUE(RIGHT($B$2,2)))
+ (VALUE(REGEXEXTRACT(INDIRECT(""A""&amp;ROW()+1),""\d+""))-1)*7
+ INT((COLUMN()-COLUMN($B91))/3)
"),46079)</f>
        <v>46079</v>
      </c>
      <c r="O91" s="81"/>
      <c r="P91" s="82"/>
      <c r="Q91" s="77">
        <f ca="1">IFERROR(__xludf.DUMMYFUNCTION("DATE(VALUE(LEFT($B$2,4)),VALUE(MID($B$2,6,2)),VALUE(RIGHT($B$2,2)))
+ (VALUE(REGEXEXTRACT(INDIRECT(""A""&amp;ROW()+1),""\d+""))-1)*7
+ INT((COLUMN()-COLUMN($B91))/3)
"),46080)</f>
        <v>46080</v>
      </c>
      <c r="R91" s="81"/>
      <c r="S91" s="82"/>
      <c r="T91" s="77">
        <f ca="1">IFERROR(__xludf.DUMMYFUNCTION("DATE(VALUE(LEFT($B$2,4)),VALUE(MID($B$2,6,2)),VALUE(RIGHT($B$2,2)))
+ (VALUE(REGEXEXTRACT(INDIRECT(""A""&amp;ROW()+1),""\d+""))-1)*7
+ INT((COLUMN()-COLUMN($B91))/3)
"),46081)</f>
        <v>46081</v>
      </c>
      <c r="U91" s="81"/>
      <c r="V91" s="82"/>
      <c r="W91" s="52" t="s">
        <v>20</v>
      </c>
      <c r="X91" s="4"/>
      <c r="Y91" s="4"/>
      <c r="Z91" s="4"/>
    </row>
    <row r="92" spans="1:26" ht="15.75" customHeight="1">
      <c r="A92" s="47" t="s">
        <v>144</v>
      </c>
      <c r="B92" s="109"/>
      <c r="C92" s="109"/>
      <c r="D92" s="42">
        <f>V90+C92</f>
        <v>-1459</v>
      </c>
      <c r="E92" s="112"/>
      <c r="F92" s="111"/>
      <c r="G92" s="36">
        <f>D102+F92</f>
        <v>-1459</v>
      </c>
      <c r="H92" s="109"/>
      <c r="I92" s="109"/>
      <c r="J92" s="42">
        <f>G102+I92</f>
        <v>-1459</v>
      </c>
      <c r="K92" s="112"/>
      <c r="L92" s="111"/>
      <c r="M92" s="18">
        <f>J102+L92</f>
        <v>-1459</v>
      </c>
      <c r="N92" s="113"/>
      <c r="O92" s="109"/>
      <c r="P92" s="35">
        <f>M102+O92</f>
        <v>-1459</v>
      </c>
      <c r="Q92" s="110"/>
      <c r="R92" s="111"/>
      <c r="S92" s="18">
        <f>P102+R92</f>
        <v>-1459</v>
      </c>
      <c r="T92" s="113"/>
      <c r="U92" s="109"/>
      <c r="V92" s="50">
        <f>S102+U92</f>
        <v>-1459</v>
      </c>
      <c r="W92" s="172"/>
      <c r="X92" s="4"/>
      <c r="Y92" s="4"/>
      <c r="Z92" s="4"/>
    </row>
    <row r="93" spans="1:26" ht="15.75" customHeight="1">
      <c r="A93" s="114"/>
      <c r="B93" s="117"/>
      <c r="C93" s="117"/>
      <c r="D93" s="19">
        <f t="shared" ref="D93:D102" si="56">D92+C93</f>
        <v>-1459</v>
      </c>
      <c r="E93" s="106"/>
      <c r="F93" s="107"/>
      <c r="G93" s="26">
        <f t="shared" ref="G93:G102" si="57">G92+F93</f>
        <v>-1459</v>
      </c>
      <c r="H93" s="117"/>
      <c r="I93" s="117"/>
      <c r="J93" s="19">
        <f t="shared" ref="J93:J102" si="58">J92+I93</f>
        <v>-1459</v>
      </c>
      <c r="K93" s="106"/>
      <c r="L93" s="107"/>
      <c r="M93" s="26">
        <f t="shared" ref="M93:M102" si="59">M92+L93</f>
        <v>-1459</v>
      </c>
      <c r="N93" s="118"/>
      <c r="O93" s="117"/>
      <c r="P93" s="19">
        <f t="shared" ref="P93:P102" si="60">P92+O93</f>
        <v>-1459</v>
      </c>
      <c r="Q93" s="116"/>
      <c r="R93" s="107"/>
      <c r="S93" s="26">
        <f t="shared" ref="S93:S102" si="61">S92+R93</f>
        <v>-1459</v>
      </c>
      <c r="T93" s="136"/>
      <c r="U93" s="136"/>
      <c r="V93" s="45">
        <f t="shared" ref="V93:V102" si="62">V92+U93</f>
        <v>-1459</v>
      </c>
      <c r="W93" s="143"/>
      <c r="X93" s="4"/>
      <c r="Y93" s="4"/>
      <c r="Z93" s="4"/>
    </row>
    <row r="94" spans="1:26" ht="15.75" customHeight="1">
      <c r="A94" s="114"/>
      <c r="B94" s="117"/>
      <c r="C94" s="117"/>
      <c r="D94" s="19">
        <f t="shared" si="56"/>
        <v>-1459</v>
      </c>
      <c r="E94" s="106"/>
      <c r="F94" s="107"/>
      <c r="G94" s="26">
        <f t="shared" si="57"/>
        <v>-1459</v>
      </c>
      <c r="H94" s="117"/>
      <c r="I94" s="117"/>
      <c r="J94" s="19">
        <f t="shared" si="58"/>
        <v>-1459</v>
      </c>
      <c r="K94" s="106"/>
      <c r="L94" s="107"/>
      <c r="M94" s="26">
        <f t="shared" si="59"/>
        <v>-1459</v>
      </c>
      <c r="N94" s="117"/>
      <c r="O94" s="117"/>
      <c r="P94" s="19">
        <f t="shared" si="60"/>
        <v>-1459</v>
      </c>
      <c r="Q94" s="116"/>
      <c r="R94" s="107"/>
      <c r="S94" s="26">
        <f t="shared" si="61"/>
        <v>-1459</v>
      </c>
      <c r="T94" s="136"/>
      <c r="U94" s="136"/>
      <c r="V94" s="45">
        <f t="shared" si="62"/>
        <v>-1459</v>
      </c>
      <c r="W94" s="143"/>
      <c r="X94" s="4"/>
      <c r="Y94" s="4"/>
      <c r="Z94" s="4"/>
    </row>
    <row r="95" spans="1:26" ht="15.75" customHeight="1">
      <c r="A95" s="114"/>
      <c r="B95" s="117"/>
      <c r="C95" s="117"/>
      <c r="D95" s="19">
        <f t="shared" si="56"/>
        <v>-1459</v>
      </c>
      <c r="E95" s="106"/>
      <c r="F95" s="107"/>
      <c r="G95" s="26">
        <f t="shared" si="57"/>
        <v>-1459</v>
      </c>
      <c r="H95" s="117"/>
      <c r="I95" s="117"/>
      <c r="J95" s="19">
        <f t="shared" si="58"/>
        <v>-1459</v>
      </c>
      <c r="K95" s="106"/>
      <c r="L95" s="107"/>
      <c r="M95" s="26">
        <f t="shared" si="59"/>
        <v>-1459</v>
      </c>
      <c r="N95" s="117"/>
      <c r="O95" s="117"/>
      <c r="P95" s="19">
        <f t="shared" si="60"/>
        <v>-1459</v>
      </c>
      <c r="Q95" s="116"/>
      <c r="R95" s="107"/>
      <c r="S95" s="26">
        <f t="shared" si="61"/>
        <v>-1459</v>
      </c>
      <c r="T95" s="136"/>
      <c r="U95" s="136"/>
      <c r="V95" s="45">
        <f t="shared" si="62"/>
        <v>-1459</v>
      </c>
      <c r="W95" s="143"/>
      <c r="X95" s="4"/>
      <c r="Y95" s="4"/>
      <c r="Z95" s="4"/>
    </row>
    <row r="96" spans="1:26" ht="15.75" customHeight="1">
      <c r="A96" s="114"/>
      <c r="B96" s="117"/>
      <c r="C96" s="117"/>
      <c r="D96" s="19">
        <f t="shared" si="56"/>
        <v>-1459</v>
      </c>
      <c r="E96" s="106"/>
      <c r="F96" s="107"/>
      <c r="G96" s="26">
        <f t="shared" si="57"/>
        <v>-1459</v>
      </c>
      <c r="H96" s="117"/>
      <c r="I96" s="117"/>
      <c r="J96" s="19">
        <f t="shared" si="58"/>
        <v>-1459</v>
      </c>
      <c r="K96" s="106"/>
      <c r="L96" s="107"/>
      <c r="M96" s="26">
        <f t="shared" si="59"/>
        <v>-1459</v>
      </c>
      <c r="N96" s="117"/>
      <c r="O96" s="117"/>
      <c r="P96" s="19">
        <f t="shared" si="60"/>
        <v>-1459</v>
      </c>
      <c r="Q96" s="116"/>
      <c r="R96" s="107"/>
      <c r="S96" s="26">
        <f t="shared" si="61"/>
        <v>-1459</v>
      </c>
      <c r="T96" s="136"/>
      <c r="U96" s="136"/>
      <c r="V96" s="45">
        <f t="shared" si="62"/>
        <v>-1459</v>
      </c>
      <c r="W96" s="143"/>
      <c r="X96" s="4"/>
      <c r="Y96" s="4"/>
      <c r="Z96" s="4"/>
    </row>
    <row r="97" spans="1:26" ht="15.75" customHeight="1">
      <c r="A97" s="114"/>
      <c r="B97" s="118"/>
      <c r="C97" s="117"/>
      <c r="D97" s="19">
        <f t="shared" si="56"/>
        <v>-1459</v>
      </c>
      <c r="E97" s="106"/>
      <c r="F97" s="107"/>
      <c r="G97" s="26">
        <f t="shared" si="57"/>
        <v>-1459</v>
      </c>
      <c r="H97" s="133"/>
      <c r="I97" s="117"/>
      <c r="J97" s="19">
        <f t="shared" si="58"/>
        <v>-1459</v>
      </c>
      <c r="K97" s="106"/>
      <c r="L97" s="107"/>
      <c r="M97" s="26">
        <f t="shared" si="59"/>
        <v>-1459</v>
      </c>
      <c r="N97" s="117"/>
      <c r="O97" s="117"/>
      <c r="P97" s="19">
        <f t="shared" si="60"/>
        <v>-1459</v>
      </c>
      <c r="Q97" s="106"/>
      <c r="R97" s="107"/>
      <c r="S97" s="26">
        <f t="shared" si="61"/>
        <v>-1459</v>
      </c>
      <c r="T97" s="136"/>
      <c r="U97" s="136"/>
      <c r="V97" s="45">
        <f t="shared" si="62"/>
        <v>-1459</v>
      </c>
      <c r="W97" s="143"/>
      <c r="X97" s="4"/>
      <c r="Y97" s="4"/>
      <c r="Z97" s="4"/>
    </row>
    <row r="98" spans="1:26" ht="15.75" customHeight="1">
      <c r="A98" s="114"/>
      <c r="B98" s="117"/>
      <c r="C98" s="117"/>
      <c r="D98" s="19">
        <f t="shared" si="56"/>
        <v>-1459</v>
      </c>
      <c r="E98" s="106"/>
      <c r="F98" s="107"/>
      <c r="G98" s="26">
        <f t="shared" si="57"/>
        <v>-1459</v>
      </c>
      <c r="H98" s="133"/>
      <c r="I98" s="117"/>
      <c r="J98" s="19">
        <f t="shared" si="58"/>
        <v>-1459</v>
      </c>
      <c r="K98" s="106"/>
      <c r="L98" s="107"/>
      <c r="M98" s="26">
        <f t="shared" si="59"/>
        <v>-1459</v>
      </c>
      <c r="N98" s="117"/>
      <c r="O98" s="117"/>
      <c r="P98" s="38">
        <f t="shared" si="60"/>
        <v>-1459</v>
      </c>
      <c r="Q98" s="106"/>
      <c r="R98" s="107"/>
      <c r="S98" s="26">
        <f t="shared" si="61"/>
        <v>-1459</v>
      </c>
      <c r="T98" s="136"/>
      <c r="U98" s="136"/>
      <c r="V98" s="45">
        <f t="shared" si="62"/>
        <v>-1459</v>
      </c>
      <c r="W98" s="143"/>
      <c r="X98" s="4"/>
      <c r="Y98" s="4"/>
      <c r="Z98" s="4"/>
    </row>
    <row r="99" spans="1:26" ht="15.75" customHeight="1">
      <c r="A99" s="114"/>
      <c r="B99" s="117"/>
      <c r="C99" s="117"/>
      <c r="D99" s="19">
        <f t="shared" si="56"/>
        <v>-1459</v>
      </c>
      <c r="E99" s="106"/>
      <c r="F99" s="107"/>
      <c r="G99" s="26">
        <f t="shared" si="57"/>
        <v>-1459</v>
      </c>
      <c r="H99" s="133"/>
      <c r="I99" s="117"/>
      <c r="J99" s="19">
        <f t="shared" si="58"/>
        <v>-1459</v>
      </c>
      <c r="K99" s="106"/>
      <c r="L99" s="107"/>
      <c r="M99" s="26">
        <f t="shared" si="59"/>
        <v>-1459</v>
      </c>
      <c r="N99" s="117"/>
      <c r="O99" s="117"/>
      <c r="P99" s="38">
        <f t="shared" si="60"/>
        <v>-1459</v>
      </c>
      <c r="Q99" s="106"/>
      <c r="R99" s="107"/>
      <c r="S99" s="26">
        <f t="shared" si="61"/>
        <v>-1459</v>
      </c>
      <c r="T99" s="136"/>
      <c r="U99" s="136"/>
      <c r="V99" s="45">
        <f t="shared" si="62"/>
        <v>-1459</v>
      </c>
      <c r="W99" s="143"/>
      <c r="X99" s="4"/>
      <c r="Y99" s="4"/>
      <c r="Z99" s="4"/>
    </row>
    <row r="100" spans="1:26" ht="15.75" customHeight="1">
      <c r="A100" s="114"/>
      <c r="B100" s="117"/>
      <c r="C100" s="117"/>
      <c r="D100" s="19">
        <f t="shared" si="56"/>
        <v>-1459</v>
      </c>
      <c r="E100" s="106"/>
      <c r="F100" s="107"/>
      <c r="G100" s="26">
        <f t="shared" si="57"/>
        <v>-1459</v>
      </c>
      <c r="H100" s="133"/>
      <c r="I100" s="117"/>
      <c r="J100" s="19">
        <f t="shared" si="58"/>
        <v>-1459</v>
      </c>
      <c r="K100" s="106"/>
      <c r="L100" s="107"/>
      <c r="M100" s="26">
        <f t="shared" si="59"/>
        <v>-1459</v>
      </c>
      <c r="N100" s="117"/>
      <c r="O100" s="117"/>
      <c r="P100" s="38">
        <f t="shared" si="60"/>
        <v>-1459</v>
      </c>
      <c r="Q100" s="106"/>
      <c r="R100" s="107"/>
      <c r="S100" s="26">
        <f t="shared" si="61"/>
        <v>-1459</v>
      </c>
      <c r="T100" s="136"/>
      <c r="U100" s="136"/>
      <c r="V100" s="45">
        <f t="shared" si="62"/>
        <v>-1459</v>
      </c>
      <c r="W100" s="143"/>
      <c r="X100" s="4"/>
      <c r="Y100" s="4"/>
      <c r="Z100" s="4"/>
    </row>
    <row r="101" spans="1:26" ht="15.75" customHeight="1">
      <c r="A101" s="114"/>
      <c r="B101" s="117"/>
      <c r="C101" s="117"/>
      <c r="D101" s="19">
        <f t="shared" si="56"/>
        <v>-1459</v>
      </c>
      <c r="E101" s="122"/>
      <c r="F101" s="123"/>
      <c r="G101" s="26">
        <f t="shared" si="57"/>
        <v>-1459</v>
      </c>
      <c r="H101" s="133"/>
      <c r="I101" s="117"/>
      <c r="J101" s="19">
        <f t="shared" si="58"/>
        <v>-1459</v>
      </c>
      <c r="K101" s="122"/>
      <c r="L101" s="123"/>
      <c r="M101" s="26">
        <f t="shared" si="59"/>
        <v>-1459</v>
      </c>
      <c r="N101" s="117"/>
      <c r="O101" s="117"/>
      <c r="P101" s="38">
        <f t="shared" si="60"/>
        <v>-1459</v>
      </c>
      <c r="Q101" s="122"/>
      <c r="R101" s="123"/>
      <c r="S101" s="26">
        <f t="shared" si="61"/>
        <v>-1459</v>
      </c>
      <c r="T101" s="136"/>
      <c r="U101" s="136"/>
      <c r="V101" s="45">
        <f t="shared" si="62"/>
        <v>-1459</v>
      </c>
      <c r="W101" s="143"/>
      <c r="X101" s="4"/>
      <c r="Y101" s="4"/>
      <c r="Z101" s="4"/>
    </row>
    <row r="102" spans="1:26" ht="15.75" customHeight="1">
      <c r="A102" s="114"/>
      <c r="B102" s="128"/>
      <c r="C102" s="128"/>
      <c r="D102" s="29">
        <f t="shared" si="56"/>
        <v>-1459</v>
      </c>
      <c r="E102" s="122"/>
      <c r="F102" s="123"/>
      <c r="G102" s="53">
        <f t="shared" si="57"/>
        <v>-1459</v>
      </c>
      <c r="H102" s="140"/>
      <c r="I102" s="128"/>
      <c r="J102" s="29">
        <f t="shared" si="58"/>
        <v>-1459</v>
      </c>
      <c r="K102" s="122"/>
      <c r="L102" s="123"/>
      <c r="M102" s="39">
        <f t="shared" si="59"/>
        <v>-1459</v>
      </c>
      <c r="N102" s="128"/>
      <c r="O102" s="128"/>
      <c r="P102" s="40">
        <f t="shared" si="60"/>
        <v>-1459</v>
      </c>
      <c r="Q102" s="122"/>
      <c r="R102" s="123"/>
      <c r="S102" s="39">
        <f t="shared" si="61"/>
        <v>-1459</v>
      </c>
      <c r="T102" s="141"/>
      <c r="U102" s="141"/>
      <c r="V102" s="46">
        <f t="shared" si="62"/>
        <v>-1459</v>
      </c>
      <c r="W102" s="143"/>
      <c r="X102" s="4"/>
      <c r="Y102" s="4"/>
      <c r="Z102" s="4"/>
    </row>
    <row r="103" spans="1:26" ht="15.75" customHeight="1">
      <c r="A103" s="87"/>
      <c r="B103" s="77">
        <f ca="1">IFERROR(__xludf.DUMMYFUNCTION("DATE(VALUE(LEFT($B$2,4)),VALUE(MID($B$2,6,2)),VALUE(RIGHT($B$2,2)))
+ (VALUE(REGEXEXTRACT(INDIRECT(""A""&amp;ROW()+1),""\d+""))-1)*7
+ INT((COLUMN()-COLUMN($B103))/3)
"),46082)</f>
        <v>46082</v>
      </c>
      <c r="C103" s="81"/>
      <c r="D103" s="82"/>
      <c r="E103" s="77">
        <f ca="1">IFERROR(__xludf.DUMMYFUNCTION("DATE(VALUE(LEFT($B$2,4)),VALUE(MID($B$2,6,2)),VALUE(RIGHT($B$2,2)))
+ (VALUE(REGEXEXTRACT(INDIRECT(""A""&amp;ROW()+1),""\d+""))-1)*7
+ INT((COLUMN()-COLUMN($B103))/3)
"),46083)</f>
        <v>46083</v>
      </c>
      <c r="F103" s="81"/>
      <c r="G103" s="82"/>
      <c r="H103" s="77">
        <f ca="1">IFERROR(__xludf.DUMMYFUNCTION("DATE(VALUE(LEFT($B$2,4)),VALUE(MID($B$2,6,2)),VALUE(RIGHT($B$2,2)))
+ (VALUE(REGEXEXTRACT(INDIRECT(""A""&amp;ROW()+1),""\d+""))-1)*7
+ INT((COLUMN()-COLUMN($B103))/3)
"),46084)</f>
        <v>46084</v>
      </c>
      <c r="I103" s="81"/>
      <c r="J103" s="82"/>
      <c r="K103" s="77">
        <f ca="1">IFERROR(__xludf.DUMMYFUNCTION("DATE(VALUE(LEFT($B$2,4)),VALUE(MID($B$2,6,2)),VALUE(RIGHT($B$2,2)))
+ (VALUE(REGEXEXTRACT(INDIRECT(""A""&amp;ROW()+1),""\d+""))-1)*7
+ INT((COLUMN()-COLUMN($B103))/3)
"),46085)</f>
        <v>46085</v>
      </c>
      <c r="L103" s="81"/>
      <c r="M103" s="82"/>
      <c r="N103" s="77">
        <f ca="1">IFERROR(__xludf.DUMMYFUNCTION("DATE(VALUE(LEFT($B$2,4)),VALUE(MID($B$2,6,2)),VALUE(RIGHT($B$2,2)))
+ (VALUE(REGEXEXTRACT(INDIRECT(""A""&amp;ROW()+1),""\d+""))-1)*7
+ INT((COLUMN()-COLUMN($B103))/3)
"),46086)</f>
        <v>46086</v>
      </c>
      <c r="O103" s="81"/>
      <c r="P103" s="82"/>
      <c r="Q103" s="77">
        <f ca="1">IFERROR(__xludf.DUMMYFUNCTION("DATE(VALUE(LEFT($B$2,4)),VALUE(MID($B$2,6,2)),VALUE(RIGHT($B$2,2)))
+ (VALUE(REGEXEXTRACT(INDIRECT(""A""&amp;ROW()+1),""\d+""))-1)*7
+ INT((COLUMN()-COLUMN($B103))/3)
"),46087)</f>
        <v>46087</v>
      </c>
      <c r="R103" s="81"/>
      <c r="S103" s="82"/>
      <c r="T103" s="77">
        <f ca="1">IFERROR(__xludf.DUMMYFUNCTION("DATE(VALUE(LEFT($B$2,4)),VALUE(MID($B$2,6,2)),VALUE(RIGHT($B$2,2)))
+ (VALUE(REGEXEXTRACT(INDIRECT(""A""&amp;ROW()+1),""\d+""))-1)*7
+ INT((COLUMN()-COLUMN($B103))/3)
"),46088)</f>
        <v>46088</v>
      </c>
      <c r="U103" s="81"/>
      <c r="V103" s="82"/>
      <c r="W103" s="143"/>
      <c r="X103" s="4"/>
      <c r="Y103" s="4"/>
      <c r="Z103" s="4"/>
    </row>
    <row r="104" spans="1:26" ht="15.75" customHeight="1">
      <c r="A104" s="51" t="s">
        <v>145</v>
      </c>
      <c r="B104" s="112"/>
      <c r="C104" s="111"/>
      <c r="D104" s="17">
        <f>V102+C104</f>
        <v>-1459</v>
      </c>
      <c r="E104" s="109"/>
      <c r="F104" s="109"/>
      <c r="G104" s="54">
        <f>D114+F104</f>
        <v>-1459</v>
      </c>
      <c r="H104" s="112"/>
      <c r="I104" s="111"/>
      <c r="J104" s="17">
        <f>G114+I104</f>
        <v>-1459</v>
      </c>
      <c r="K104" s="109"/>
      <c r="L104" s="109"/>
      <c r="M104" s="35">
        <f>J114+L104</f>
        <v>-1459</v>
      </c>
      <c r="N104" s="112"/>
      <c r="O104" s="111"/>
      <c r="P104" s="17">
        <f>M114+O104</f>
        <v>-1459</v>
      </c>
      <c r="Q104" s="109"/>
      <c r="R104" s="109"/>
      <c r="S104" s="35">
        <f>P114+R104</f>
        <v>-1459</v>
      </c>
      <c r="T104" s="112"/>
      <c r="U104" s="111"/>
      <c r="V104" s="48">
        <f>S114+U104</f>
        <v>-1459</v>
      </c>
      <c r="W104" s="143"/>
      <c r="X104" s="4"/>
      <c r="Y104" s="4"/>
      <c r="Z104" s="4"/>
    </row>
    <row r="105" spans="1:26" ht="15.75" customHeight="1">
      <c r="A105" s="114"/>
      <c r="B105" s="122"/>
      <c r="C105" s="123"/>
      <c r="D105" s="26">
        <f t="shared" ref="D105:D114" si="63">D104+C105</f>
        <v>-1459</v>
      </c>
      <c r="E105" s="117"/>
      <c r="F105" s="117"/>
      <c r="G105" s="19">
        <f t="shared" ref="G105:G114" si="64">G104+F105</f>
        <v>-1459</v>
      </c>
      <c r="H105" s="106"/>
      <c r="I105" s="107"/>
      <c r="J105" s="26">
        <f t="shared" ref="J105:J114" si="65">J104+I105</f>
        <v>-1459</v>
      </c>
      <c r="K105" s="117"/>
      <c r="L105" s="117"/>
      <c r="M105" s="38">
        <f t="shared" ref="M105:M114" si="66">M104+L105</f>
        <v>-1459</v>
      </c>
      <c r="N105" s="106"/>
      <c r="O105" s="107"/>
      <c r="P105" s="26">
        <f t="shared" ref="P105:P114" si="67">P104+O105</f>
        <v>-1459</v>
      </c>
      <c r="Q105" s="117"/>
      <c r="R105" s="117"/>
      <c r="S105" s="38">
        <f t="shared" ref="S105:S114" si="68">S104+R105</f>
        <v>-1459</v>
      </c>
      <c r="T105" s="106"/>
      <c r="U105" s="107"/>
      <c r="V105" s="20">
        <f t="shared" ref="V105:V114" si="69">V104+U105</f>
        <v>-1459</v>
      </c>
      <c r="W105" s="143"/>
      <c r="X105" s="4"/>
      <c r="Y105" s="4"/>
      <c r="Z105" s="4"/>
    </row>
    <row r="106" spans="1:26" ht="15.75" customHeight="1">
      <c r="A106" s="114"/>
      <c r="B106" s="122"/>
      <c r="C106" s="123"/>
      <c r="D106" s="26">
        <f t="shared" si="63"/>
        <v>-1459</v>
      </c>
      <c r="E106" s="117"/>
      <c r="F106" s="117"/>
      <c r="G106" s="19">
        <f t="shared" si="64"/>
        <v>-1459</v>
      </c>
      <c r="H106" s="106"/>
      <c r="I106" s="107"/>
      <c r="J106" s="26">
        <f t="shared" si="65"/>
        <v>-1459</v>
      </c>
      <c r="K106" s="117"/>
      <c r="L106" s="117"/>
      <c r="M106" s="38">
        <f t="shared" si="66"/>
        <v>-1459</v>
      </c>
      <c r="N106" s="106"/>
      <c r="O106" s="107"/>
      <c r="P106" s="26">
        <f t="shared" si="67"/>
        <v>-1459</v>
      </c>
      <c r="Q106" s="117"/>
      <c r="R106" s="117"/>
      <c r="S106" s="38">
        <f t="shared" si="68"/>
        <v>-1459</v>
      </c>
      <c r="T106" s="106"/>
      <c r="U106" s="116"/>
      <c r="V106" s="20">
        <f t="shared" si="69"/>
        <v>-1459</v>
      </c>
      <c r="W106" s="143"/>
      <c r="X106" s="4"/>
      <c r="Y106" s="4"/>
      <c r="Z106" s="4"/>
    </row>
    <row r="107" spans="1:26" ht="15.75" customHeight="1">
      <c r="A107" s="114"/>
      <c r="B107" s="122"/>
      <c r="C107" s="123"/>
      <c r="D107" s="26">
        <f t="shared" si="63"/>
        <v>-1459</v>
      </c>
      <c r="E107" s="117"/>
      <c r="F107" s="117"/>
      <c r="G107" s="19">
        <f t="shared" si="64"/>
        <v>-1459</v>
      </c>
      <c r="H107" s="106"/>
      <c r="I107" s="107"/>
      <c r="J107" s="26">
        <f t="shared" si="65"/>
        <v>-1459</v>
      </c>
      <c r="K107" s="117"/>
      <c r="L107" s="117"/>
      <c r="M107" s="38">
        <f t="shared" si="66"/>
        <v>-1459</v>
      </c>
      <c r="N107" s="106"/>
      <c r="O107" s="107"/>
      <c r="P107" s="26">
        <f t="shared" si="67"/>
        <v>-1459</v>
      </c>
      <c r="Q107" s="117"/>
      <c r="R107" s="117"/>
      <c r="S107" s="38">
        <f t="shared" si="68"/>
        <v>-1459</v>
      </c>
      <c r="T107" s="106"/>
      <c r="U107" s="116"/>
      <c r="V107" s="20">
        <f t="shared" si="69"/>
        <v>-1459</v>
      </c>
      <c r="W107" s="143"/>
      <c r="X107" s="4"/>
      <c r="Y107" s="4"/>
      <c r="Z107" s="4"/>
    </row>
    <row r="108" spans="1:26" ht="15.75" customHeight="1">
      <c r="A108" s="114"/>
      <c r="B108" s="122"/>
      <c r="C108" s="123"/>
      <c r="D108" s="26">
        <f t="shared" si="63"/>
        <v>-1459</v>
      </c>
      <c r="E108" s="117"/>
      <c r="F108" s="117"/>
      <c r="G108" s="19">
        <f t="shared" si="64"/>
        <v>-1459</v>
      </c>
      <c r="H108" s="106"/>
      <c r="I108" s="107"/>
      <c r="J108" s="26">
        <f t="shared" si="65"/>
        <v>-1459</v>
      </c>
      <c r="K108" s="117"/>
      <c r="L108" s="117"/>
      <c r="M108" s="38">
        <f t="shared" si="66"/>
        <v>-1459</v>
      </c>
      <c r="N108" s="106"/>
      <c r="O108" s="107"/>
      <c r="P108" s="26">
        <f t="shared" si="67"/>
        <v>-1459</v>
      </c>
      <c r="Q108" s="117"/>
      <c r="R108" s="117"/>
      <c r="S108" s="38">
        <f t="shared" si="68"/>
        <v>-1459</v>
      </c>
      <c r="T108" s="106"/>
      <c r="U108" s="116"/>
      <c r="V108" s="20">
        <f t="shared" si="69"/>
        <v>-1459</v>
      </c>
      <c r="W108" s="143"/>
      <c r="X108" s="4"/>
      <c r="Y108" s="4"/>
      <c r="Z108" s="4"/>
    </row>
    <row r="109" spans="1:26" ht="15.75" customHeight="1">
      <c r="A109" s="114"/>
      <c r="B109" s="122"/>
      <c r="C109" s="123"/>
      <c r="D109" s="26">
        <f t="shared" si="63"/>
        <v>-1459</v>
      </c>
      <c r="E109" s="117"/>
      <c r="F109" s="117"/>
      <c r="G109" s="19">
        <f t="shared" si="64"/>
        <v>-1459</v>
      </c>
      <c r="H109" s="106"/>
      <c r="I109" s="107"/>
      <c r="J109" s="26">
        <f t="shared" si="65"/>
        <v>-1459</v>
      </c>
      <c r="K109" s="117"/>
      <c r="L109" s="117"/>
      <c r="M109" s="38">
        <f t="shared" si="66"/>
        <v>-1459</v>
      </c>
      <c r="N109" s="106"/>
      <c r="O109" s="107"/>
      <c r="P109" s="26">
        <f t="shared" si="67"/>
        <v>-1459</v>
      </c>
      <c r="Q109" s="117"/>
      <c r="R109" s="117"/>
      <c r="S109" s="38">
        <f t="shared" si="68"/>
        <v>-1459</v>
      </c>
      <c r="T109" s="106"/>
      <c r="U109" s="116"/>
      <c r="V109" s="20">
        <f t="shared" si="69"/>
        <v>-1459</v>
      </c>
      <c r="W109" s="143"/>
      <c r="X109" s="4"/>
      <c r="Y109" s="4"/>
      <c r="Z109" s="4"/>
    </row>
    <row r="110" spans="1:26" ht="15.75" customHeight="1">
      <c r="A110" s="114"/>
      <c r="B110" s="122"/>
      <c r="C110" s="123"/>
      <c r="D110" s="26">
        <f t="shared" si="63"/>
        <v>-1459</v>
      </c>
      <c r="E110" s="117"/>
      <c r="F110" s="117"/>
      <c r="G110" s="19">
        <f t="shared" si="64"/>
        <v>-1459</v>
      </c>
      <c r="H110" s="106"/>
      <c r="I110" s="107"/>
      <c r="J110" s="26">
        <f t="shared" si="65"/>
        <v>-1459</v>
      </c>
      <c r="K110" s="117"/>
      <c r="L110" s="117"/>
      <c r="M110" s="38">
        <f t="shared" si="66"/>
        <v>-1459</v>
      </c>
      <c r="N110" s="106"/>
      <c r="O110" s="107"/>
      <c r="P110" s="26">
        <f t="shared" si="67"/>
        <v>-1459</v>
      </c>
      <c r="Q110" s="117"/>
      <c r="R110" s="117"/>
      <c r="S110" s="38">
        <f t="shared" si="68"/>
        <v>-1459</v>
      </c>
      <c r="T110" s="106"/>
      <c r="U110" s="116"/>
      <c r="V110" s="20">
        <f t="shared" si="69"/>
        <v>-1459</v>
      </c>
      <c r="W110" s="143"/>
      <c r="X110" s="4"/>
      <c r="Y110" s="4"/>
      <c r="Z110" s="4"/>
    </row>
    <row r="111" spans="1:26" ht="15.75" customHeight="1">
      <c r="A111" s="114"/>
      <c r="B111" s="122"/>
      <c r="C111" s="123"/>
      <c r="D111" s="26">
        <f t="shared" si="63"/>
        <v>-1459</v>
      </c>
      <c r="E111" s="117"/>
      <c r="F111" s="117"/>
      <c r="G111" s="19">
        <f t="shared" si="64"/>
        <v>-1459</v>
      </c>
      <c r="H111" s="106"/>
      <c r="I111" s="107"/>
      <c r="J111" s="26">
        <f t="shared" si="65"/>
        <v>-1459</v>
      </c>
      <c r="K111" s="117"/>
      <c r="L111" s="117"/>
      <c r="M111" s="38">
        <f t="shared" si="66"/>
        <v>-1459</v>
      </c>
      <c r="N111" s="106"/>
      <c r="O111" s="107"/>
      <c r="P111" s="26">
        <f t="shared" si="67"/>
        <v>-1459</v>
      </c>
      <c r="Q111" s="117"/>
      <c r="R111" s="117"/>
      <c r="S111" s="38">
        <f t="shared" si="68"/>
        <v>-1459</v>
      </c>
      <c r="T111" s="106"/>
      <c r="U111" s="116"/>
      <c r="V111" s="20">
        <f t="shared" si="69"/>
        <v>-1459</v>
      </c>
      <c r="W111" s="143"/>
      <c r="X111" s="4"/>
      <c r="Y111" s="4"/>
      <c r="Z111" s="4"/>
    </row>
    <row r="112" spans="1:26" ht="15.75" customHeight="1">
      <c r="A112" s="114"/>
      <c r="B112" s="122"/>
      <c r="C112" s="123"/>
      <c r="D112" s="26">
        <f t="shared" si="63"/>
        <v>-1459</v>
      </c>
      <c r="E112" s="117"/>
      <c r="F112" s="117"/>
      <c r="G112" s="19">
        <f t="shared" si="64"/>
        <v>-1459</v>
      </c>
      <c r="H112" s="106"/>
      <c r="I112" s="107"/>
      <c r="J112" s="26">
        <f t="shared" si="65"/>
        <v>-1459</v>
      </c>
      <c r="K112" s="117"/>
      <c r="L112" s="117"/>
      <c r="M112" s="38">
        <f t="shared" si="66"/>
        <v>-1459</v>
      </c>
      <c r="N112" s="122"/>
      <c r="O112" s="123"/>
      <c r="P112" s="26">
        <f t="shared" si="67"/>
        <v>-1459</v>
      </c>
      <c r="Q112" s="117"/>
      <c r="R112" s="117"/>
      <c r="S112" s="38">
        <f t="shared" si="68"/>
        <v>-1459</v>
      </c>
      <c r="T112" s="106"/>
      <c r="U112" s="116"/>
      <c r="V112" s="20">
        <f t="shared" si="69"/>
        <v>-1459</v>
      </c>
      <c r="W112" s="143"/>
      <c r="X112" s="4"/>
      <c r="Y112" s="4"/>
      <c r="Z112" s="4"/>
    </row>
    <row r="113" spans="1:23" ht="15.75" customHeight="1">
      <c r="A113" s="114"/>
      <c r="B113" s="122"/>
      <c r="C113" s="123"/>
      <c r="D113" s="26">
        <f t="shared" si="63"/>
        <v>-1459</v>
      </c>
      <c r="E113" s="117"/>
      <c r="F113" s="117"/>
      <c r="G113" s="19">
        <f t="shared" si="64"/>
        <v>-1459</v>
      </c>
      <c r="H113" s="106"/>
      <c r="I113" s="107"/>
      <c r="J113" s="26">
        <f t="shared" si="65"/>
        <v>-1459</v>
      </c>
      <c r="K113" s="117"/>
      <c r="L113" s="117"/>
      <c r="M113" s="38">
        <f t="shared" si="66"/>
        <v>-1459</v>
      </c>
      <c r="N113" s="122"/>
      <c r="O113" s="123"/>
      <c r="P113" s="26">
        <f t="shared" si="67"/>
        <v>-1459</v>
      </c>
      <c r="Q113" s="117"/>
      <c r="R113" s="117"/>
      <c r="S113" s="38">
        <f t="shared" si="68"/>
        <v>-1459</v>
      </c>
      <c r="T113" s="122"/>
      <c r="U113" s="124"/>
      <c r="V113" s="20">
        <f t="shared" si="69"/>
        <v>-1459</v>
      </c>
      <c r="W113" s="143"/>
    </row>
    <row r="114" spans="1:23" ht="15.75" customHeight="1">
      <c r="A114" s="114"/>
      <c r="B114" s="122"/>
      <c r="C114" s="123"/>
      <c r="D114" s="39">
        <f t="shared" si="63"/>
        <v>-1459</v>
      </c>
      <c r="E114" s="128"/>
      <c r="F114" s="128"/>
      <c r="G114" s="29">
        <f t="shared" si="64"/>
        <v>-1459</v>
      </c>
      <c r="H114" s="124"/>
      <c r="I114" s="123"/>
      <c r="J114" s="39">
        <f t="shared" si="65"/>
        <v>-1459</v>
      </c>
      <c r="K114" s="128"/>
      <c r="L114" s="128"/>
      <c r="M114" s="40">
        <f t="shared" si="66"/>
        <v>-1459</v>
      </c>
      <c r="N114" s="122"/>
      <c r="O114" s="123"/>
      <c r="P114" s="39">
        <f t="shared" si="67"/>
        <v>-1459</v>
      </c>
      <c r="Q114" s="128"/>
      <c r="R114" s="128"/>
      <c r="S114" s="40">
        <f t="shared" si="68"/>
        <v>-1459</v>
      </c>
      <c r="T114" s="122"/>
      <c r="U114" s="123"/>
      <c r="V114" s="49">
        <f t="shared" si="69"/>
        <v>-1459</v>
      </c>
      <c r="W114" s="143"/>
    </row>
    <row r="115" spans="1:23" ht="15.75" customHeight="1">
      <c r="A115" s="87"/>
      <c r="B115" s="77">
        <f ca="1">IFERROR(__xludf.DUMMYFUNCTION("DATE(VALUE(LEFT($B$2,4)),VALUE(MID($B$2,6,2)),VALUE(RIGHT($B$2,2)))
+ (VALUE(REGEXEXTRACT(INDIRECT(""A""&amp;ROW()+1),""\d+""))-1)*7
+ INT((COLUMN()-COLUMN($B115))/3)
"),46089)</f>
        <v>46089</v>
      </c>
      <c r="C115" s="81"/>
      <c r="D115" s="82"/>
      <c r="E115" s="77">
        <f ca="1">IFERROR(__xludf.DUMMYFUNCTION("DATE(VALUE(LEFT($B$2,4)),VALUE(MID($B$2,6,2)),VALUE(RIGHT($B$2,2)))
+ (VALUE(REGEXEXTRACT(INDIRECT(""A""&amp;ROW()+1),""\d+""))-1)*7
+ INT((COLUMN()-COLUMN($B115))/3)
"),46090)</f>
        <v>46090</v>
      </c>
      <c r="F115" s="81"/>
      <c r="G115" s="82"/>
      <c r="H115" s="77">
        <f ca="1">IFERROR(__xludf.DUMMYFUNCTION("DATE(VALUE(LEFT($B$2,4)),VALUE(MID($B$2,6,2)),VALUE(RIGHT($B$2,2)))
+ (VALUE(REGEXEXTRACT(INDIRECT(""A""&amp;ROW()+1),""\d+""))-1)*7
+ INT((COLUMN()-COLUMN($B115))/3)
"),46091)</f>
        <v>46091</v>
      </c>
      <c r="I115" s="81"/>
      <c r="J115" s="82"/>
      <c r="K115" s="77">
        <f ca="1">IFERROR(__xludf.DUMMYFUNCTION("DATE(VALUE(LEFT($B$2,4)),VALUE(MID($B$2,6,2)),VALUE(RIGHT($B$2,2)))
+ (VALUE(REGEXEXTRACT(INDIRECT(""A""&amp;ROW()+1),""\d+""))-1)*7
+ INT((COLUMN()-COLUMN($B115))/3)
"),46092)</f>
        <v>46092</v>
      </c>
      <c r="L115" s="81"/>
      <c r="M115" s="82"/>
      <c r="N115" s="77">
        <f ca="1">IFERROR(__xludf.DUMMYFUNCTION("DATE(VALUE(LEFT($B$2,4)),VALUE(MID($B$2,6,2)),VALUE(RIGHT($B$2,2)))
+ (VALUE(REGEXEXTRACT(INDIRECT(""A""&amp;ROW()+1),""\d+""))-1)*7
+ INT((COLUMN()-COLUMN($B115))/3)
"),46093)</f>
        <v>46093</v>
      </c>
      <c r="O115" s="81"/>
      <c r="P115" s="82"/>
      <c r="Q115" s="77">
        <f ca="1">IFERROR(__xludf.DUMMYFUNCTION("DATE(VALUE(LEFT($B$2,4)),VALUE(MID($B$2,6,2)),VALUE(RIGHT($B$2,2)))
+ (VALUE(REGEXEXTRACT(INDIRECT(""A""&amp;ROW()+1),""\d+""))-1)*7
+ INT((COLUMN()-COLUMN($B115))/3)
"),46094)</f>
        <v>46094</v>
      </c>
      <c r="R115" s="81"/>
      <c r="S115" s="82"/>
      <c r="T115" s="77">
        <f ca="1">IFERROR(__xludf.DUMMYFUNCTION("DATE(VALUE(LEFT($B$2,4)),VALUE(MID($B$2,6,2)),VALUE(RIGHT($B$2,2)))
+ (VALUE(REGEXEXTRACT(INDIRECT(""A""&amp;ROW()+1),""\d+""))-1)*7
+ INT((COLUMN()-COLUMN($B115))/3)
"),46095)</f>
        <v>46095</v>
      </c>
      <c r="U115" s="81"/>
      <c r="V115" s="82"/>
      <c r="W115" s="52" t="s">
        <v>20</v>
      </c>
    </row>
    <row r="116" spans="1:23" ht="15.75" customHeight="1">
      <c r="A116" s="47" t="s">
        <v>146</v>
      </c>
      <c r="B116" s="109"/>
      <c r="C116" s="109"/>
      <c r="D116" s="42">
        <f>V114+C116</f>
        <v>-1459</v>
      </c>
      <c r="E116" s="112"/>
      <c r="F116" s="111"/>
      <c r="G116" s="36">
        <f>D126+F116</f>
        <v>-1459</v>
      </c>
      <c r="H116" s="132"/>
      <c r="I116" s="109"/>
      <c r="J116" s="42">
        <f>G126+I116</f>
        <v>-1459</v>
      </c>
      <c r="K116" s="112"/>
      <c r="L116" s="111"/>
      <c r="M116" s="18">
        <f>J126+L116</f>
        <v>-1459</v>
      </c>
      <c r="N116" s="113"/>
      <c r="O116" s="109"/>
      <c r="P116" s="35">
        <f>M126+O116</f>
        <v>-1459</v>
      </c>
      <c r="Q116" s="112"/>
      <c r="R116" s="111"/>
      <c r="S116" s="18">
        <f>P126+R116</f>
        <v>-1459</v>
      </c>
      <c r="T116" s="113"/>
      <c r="U116" s="109"/>
      <c r="V116" s="50">
        <f>S126+U116</f>
        <v>-1459</v>
      </c>
      <c r="W116" s="172"/>
    </row>
    <row r="117" spans="1:23" ht="15.75" customHeight="1">
      <c r="A117" s="114"/>
      <c r="B117" s="117"/>
      <c r="C117" s="117"/>
      <c r="D117" s="19">
        <f t="shared" ref="D117:D126" si="70">D116+C117</f>
        <v>-1459</v>
      </c>
      <c r="E117" s="106"/>
      <c r="F117" s="107"/>
      <c r="G117" s="26">
        <f t="shared" ref="G117:G126" si="71">G116+F117</f>
        <v>-1459</v>
      </c>
      <c r="H117" s="133"/>
      <c r="I117" s="117"/>
      <c r="J117" s="19">
        <f t="shared" ref="J117:J126" si="72">J116+I117</f>
        <v>-1459</v>
      </c>
      <c r="K117" s="106"/>
      <c r="L117" s="107"/>
      <c r="M117" s="26">
        <f t="shared" ref="M117:M126" si="73">M116+L117</f>
        <v>-1459</v>
      </c>
      <c r="N117" s="118"/>
      <c r="O117" s="117"/>
      <c r="P117" s="38">
        <f t="shared" ref="P117:P126" si="74">P116+O117</f>
        <v>-1459</v>
      </c>
      <c r="Q117" s="106"/>
      <c r="R117" s="107"/>
      <c r="S117" s="26">
        <f t="shared" ref="S117:S126" si="75">S116+R117</f>
        <v>-1459</v>
      </c>
      <c r="T117" s="136"/>
      <c r="U117" s="136"/>
      <c r="V117" s="45">
        <f t="shared" ref="V117:V126" si="76">V116+U117</f>
        <v>-1459</v>
      </c>
      <c r="W117" s="143"/>
    </row>
    <row r="118" spans="1:23" ht="15.75" customHeight="1">
      <c r="A118" s="114"/>
      <c r="B118" s="117"/>
      <c r="C118" s="117"/>
      <c r="D118" s="19">
        <f t="shared" si="70"/>
        <v>-1459</v>
      </c>
      <c r="E118" s="106"/>
      <c r="F118" s="107"/>
      <c r="G118" s="26">
        <f t="shared" si="71"/>
        <v>-1459</v>
      </c>
      <c r="H118" s="133"/>
      <c r="I118" s="117"/>
      <c r="J118" s="19">
        <f t="shared" si="72"/>
        <v>-1459</v>
      </c>
      <c r="K118" s="106"/>
      <c r="L118" s="107"/>
      <c r="M118" s="26">
        <f t="shared" si="73"/>
        <v>-1459</v>
      </c>
      <c r="N118" s="117"/>
      <c r="O118" s="117"/>
      <c r="P118" s="38">
        <f t="shared" si="74"/>
        <v>-1459</v>
      </c>
      <c r="Q118" s="106"/>
      <c r="R118" s="107"/>
      <c r="S118" s="26">
        <f t="shared" si="75"/>
        <v>-1459</v>
      </c>
      <c r="T118" s="136"/>
      <c r="U118" s="136"/>
      <c r="V118" s="45">
        <f t="shared" si="76"/>
        <v>-1459</v>
      </c>
      <c r="W118" s="143"/>
    </row>
    <row r="119" spans="1:23" ht="15.75" customHeight="1">
      <c r="A119" s="114"/>
      <c r="B119" s="117"/>
      <c r="C119" s="117"/>
      <c r="D119" s="19">
        <f t="shared" si="70"/>
        <v>-1459</v>
      </c>
      <c r="E119" s="106"/>
      <c r="F119" s="107"/>
      <c r="G119" s="26">
        <f t="shared" si="71"/>
        <v>-1459</v>
      </c>
      <c r="H119" s="133"/>
      <c r="I119" s="117"/>
      <c r="J119" s="19">
        <f t="shared" si="72"/>
        <v>-1459</v>
      </c>
      <c r="K119" s="106"/>
      <c r="L119" s="107"/>
      <c r="M119" s="26">
        <f t="shared" si="73"/>
        <v>-1459</v>
      </c>
      <c r="N119" s="117"/>
      <c r="O119" s="117"/>
      <c r="P119" s="38">
        <f t="shared" si="74"/>
        <v>-1459</v>
      </c>
      <c r="Q119" s="106"/>
      <c r="R119" s="107"/>
      <c r="S119" s="26">
        <f t="shared" si="75"/>
        <v>-1459</v>
      </c>
      <c r="T119" s="117"/>
      <c r="U119" s="117"/>
      <c r="V119" s="45">
        <f t="shared" si="76"/>
        <v>-1459</v>
      </c>
      <c r="W119" s="143"/>
    </row>
    <row r="120" spans="1:23" ht="15.75" customHeight="1">
      <c r="A120" s="114"/>
      <c r="B120" s="117"/>
      <c r="C120" s="117"/>
      <c r="D120" s="19">
        <f t="shared" si="70"/>
        <v>-1459</v>
      </c>
      <c r="E120" s="106"/>
      <c r="F120" s="107"/>
      <c r="G120" s="26">
        <f t="shared" si="71"/>
        <v>-1459</v>
      </c>
      <c r="H120" s="133"/>
      <c r="I120" s="117"/>
      <c r="J120" s="19">
        <f t="shared" si="72"/>
        <v>-1459</v>
      </c>
      <c r="K120" s="106"/>
      <c r="L120" s="107"/>
      <c r="M120" s="26">
        <f t="shared" si="73"/>
        <v>-1459</v>
      </c>
      <c r="N120" s="117"/>
      <c r="O120" s="117"/>
      <c r="P120" s="38">
        <f t="shared" si="74"/>
        <v>-1459</v>
      </c>
      <c r="Q120" s="106"/>
      <c r="R120" s="107"/>
      <c r="S120" s="26">
        <f t="shared" si="75"/>
        <v>-1459</v>
      </c>
      <c r="T120" s="117"/>
      <c r="U120" s="117"/>
      <c r="V120" s="45">
        <f t="shared" si="76"/>
        <v>-1459</v>
      </c>
      <c r="W120" s="143"/>
    </row>
    <row r="121" spans="1:23" ht="15.75" customHeight="1">
      <c r="A121" s="114"/>
      <c r="B121" s="118"/>
      <c r="C121" s="117"/>
      <c r="D121" s="19">
        <f t="shared" si="70"/>
        <v>-1459</v>
      </c>
      <c r="E121" s="106"/>
      <c r="F121" s="107"/>
      <c r="G121" s="26">
        <f t="shared" si="71"/>
        <v>-1459</v>
      </c>
      <c r="H121" s="133"/>
      <c r="I121" s="117"/>
      <c r="J121" s="19">
        <f t="shared" si="72"/>
        <v>-1459</v>
      </c>
      <c r="K121" s="106"/>
      <c r="L121" s="107"/>
      <c r="M121" s="26">
        <f t="shared" si="73"/>
        <v>-1459</v>
      </c>
      <c r="N121" s="117"/>
      <c r="O121" s="117"/>
      <c r="P121" s="38">
        <f t="shared" si="74"/>
        <v>-1459</v>
      </c>
      <c r="Q121" s="106"/>
      <c r="R121" s="107"/>
      <c r="S121" s="26">
        <f t="shared" si="75"/>
        <v>-1459</v>
      </c>
      <c r="T121" s="117"/>
      <c r="U121" s="117"/>
      <c r="V121" s="45">
        <f t="shared" si="76"/>
        <v>-1459</v>
      </c>
      <c r="W121" s="143"/>
    </row>
    <row r="122" spans="1:23" ht="15.75" customHeight="1">
      <c r="A122" s="114"/>
      <c r="B122" s="117"/>
      <c r="C122" s="117"/>
      <c r="D122" s="19">
        <f t="shared" si="70"/>
        <v>-1459</v>
      </c>
      <c r="E122" s="106"/>
      <c r="F122" s="107"/>
      <c r="G122" s="26">
        <f t="shared" si="71"/>
        <v>-1459</v>
      </c>
      <c r="H122" s="133"/>
      <c r="I122" s="117"/>
      <c r="J122" s="19">
        <f t="shared" si="72"/>
        <v>-1459</v>
      </c>
      <c r="K122" s="106"/>
      <c r="L122" s="107"/>
      <c r="M122" s="26">
        <f t="shared" si="73"/>
        <v>-1459</v>
      </c>
      <c r="N122" s="117"/>
      <c r="O122" s="117"/>
      <c r="P122" s="38">
        <f t="shared" si="74"/>
        <v>-1459</v>
      </c>
      <c r="Q122" s="106"/>
      <c r="R122" s="107"/>
      <c r="S122" s="26">
        <f t="shared" si="75"/>
        <v>-1459</v>
      </c>
      <c r="T122" s="117"/>
      <c r="U122" s="117"/>
      <c r="V122" s="45">
        <f t="shared" si="76"/>
        <v>-1459</v>
      </c>
      <c r="W122" s="143"/>
    </row>
    <row r="123" spans="1:23" ht="15.75" customHeight="1">
      <c r="A123" s="114"/>
      <c r="B123" s="117"/>
      <c r="C123" s="117"/>
      <c r="D123" s="19">
        <f t="shared" si="70"/>
        <v>-1459</v>
      </c>
      <c r="E123" s="106"/>
      <c r="F123" s="107"/>
      <c r="G123" s="26">
        <f t="shared" si="71"/>
        <v>-1459</v>
      </c>
      <c r="H123" s="133"/>
      <c r="I123" s="117"/>
      <c r="J123" s="19">
        <f t="shared" si="72"/>
        <v>-1459</v>
      </c>
      <c r="K123" s="106"/>
      <c r="L123" s="107"/>
      <c r="M123" s="26">
        <f t="shared" si="73"/>
        <v>-1459</v>
      </c>
      <c r="N123" s="117"/>
      <c r="O123" s="117"/>
      <c r="P123" s="38">
        <f t="shared" si="74"/>
        <v>-1459</v>
      </c>
      <c r="Q123" s="106"/>
      <c r="R123" s="107"/>
      <c r="S123" s="26">
        <f t="shared" si="75"/>
        <v>-1459</v>
      </c>
      <c r="T123" s="117"/>
      <c r="U123" s="117"/>
      <c r="V123" s="45">
        <f t="shared" si="76"/>
        <v>-1459</v>
      </c>
      <c r="W123" s="143"/>
    </row>
    <row r="124" spans="1:23" ht="15.75" customHeight="1">
      <c r="A124" s="114"/>
      <c r="B124" s="117"/>
      <c r="C124" s="117"/>
      <c r="D124" s="19">
        <f t="shared" si="70"/>
        <v>-1459</v>
      </c>
      <c r="E124" s="106"/>
      <c r="F124" s="107"/>
      <c r="G124" s="26">
        <f t="shared" si="71"/>
        <v>-1459</v>
      </c>
      <c r="H124" s="133"/>
      <c r="I124" s="117"/>
      <c r="J124" s="19">
        <f t="shared" si="72"/>
        <v>-1459</v>
      </c>
      <c r="K124" s="106"/>
      <c r="L124" s="107"/>
      <c r="M124" s="26">
        <f t="shared" si="73"/>
        <v>-1459</v>
      </c>
      <c r="N124" s="117"/>
      <c r="O124" s="117"/>
      <c r="P124" s="38">
        <f t="shared" si="74"/>
        <v>-1459</v>
      </c>
      <c r="Q124" s="106"/>
      <c r="R124" s="107"/>
      <c r="S124" s="26">
        <f t="shared" si="75"/>
        <v>-1459</v>
      </c>
      <c r="T124" s="136"/>
      <c r="U124" s="136"/>
      <c r="V124" s="45">
        <f t="shared" si="76"/>
        <v>-1459</v>
      </c>
      <c r="W124" s="143"/>
    </row>
    <row r="125" spans="1:23" ht="15.75" customHeight="1">
      <c r="A125" s="114"/>
      <c r="B125" s="117"/>
      <c r="C125" s="117"/>
      <c r="D125" s="19">
        <f t="shared" si="70"/>
        <v>-1459</v>
      </c>
      <c r="E125" s="122"/>
      <c r="F125" s="123"/>
      <c r="G125" s="26">
        <f t="shared" si="71"/>
        <v>-1459</v>
      </c>
      <c r="H125" s="133"/>
      <c r="I125" s="117"/>
      <c r="J125" s="19">
        <f t="shared" si="72"/>
        <v>-1459</v>
      </c>
      <c r="K125" s="122"/>
      <c r="L125" s="123"/>
      <c r="M125" s="26">
        <f t="shared" si="73"/>
        <v>-1459</v>
      </c>
      <c r="N125" s="117"/>
      <c r="O125" s="117"/>
      <c r="P125" s="38">
        <f t="shared" si="74"/>
        <v>-1459</v>
      </c>
      <c r="Q125" s="122"/>
      <c r="R125" s="123"/>
      <c r="S125" s="26">
        <f t="shared" si="75"/>
        <v>-1459</v>
      </c>
      <c r="T125" s="136"/>
      <c r="U125" s="136"/>
      <c r="V125" s="45">
        <f t="shared" si="76"/>
        <v>-1459</v>
      </c>
      <c r="W125" s="143"/>
    </row>
    <row r="126" spans="1:23" ht="15.75" customHeight="1">
      <c r="A126" s="114"/>
      <c r="B126" s="128"/>
      <c r="C126" s="128"/>
      <c r="D126" s="29">
        <f t="shared" si="70"/>
        <v>-1459</v>
      </c>
      <c r="E126" s="122"/>
      <c r="F126" s="123"/>
      <c r="G126" s="39">
        <f t="shared" si="71"/>
        <v>-1459</v>
      </c>
      <c r="H126" s="140"/>
      <c r="I126" s="128"/>
      <c r="J126" s="29">
        <f t="shared" si="72"/>
        <v>-1459</v>
      </c>
      <c r="K126" s="122"/>
      <c r="L126" s="123"/>
      <c r="M126" s="39">
        <f t="shared" si="73"/>
        <v>-1459</v>
      </c>
      <c r="N126" s="128"/>
      <c r="O126" s="128"/>
      <c r="P126" s="40">
        <f t="shared" si="74"/>
        <v>-1459</v>
      </c>
      <c r="Q126" s="122"/>
      <c r="R126" s="123"/>
      <c r="S126" s="39">
        <f t="shared" si="75"/>
        <v>-1459</v>
      </c>
      <c r="T126" s="141"/>
      <c r="U126" s="141"/>
      <c r="V126" s="46">
        <f t="shared" si="76"/>
        <v>-1459</v>
      </c>
      <c r="W126" s="143"/>
    </row>
    <row r="127" spans="1:23" ht="15.75" customHeight="1">
      <c r="A127" s="87"/>
      <c r="B127" s="77">
        <f ca="1">IFERROR(__xludf.DUMMYFUNCTION("DATE(VALUE(LEFT($B$2,4)),VALUE(MID($B$2,6,2)),VALUE(RIGHT($B$2,2)))
+ (VALUE(REGEXEXTRACT(INDIRECT(""A""&amp;ROW()+1),""\d+""))-1)*7
+ INT((COLUMN()-COLUMN($B127))/3)
"),46096)</f>
        <v>46096</v>
      </c>
      <c r="C127" s="81"/>
      <c r="D127" s="82"/>
      <c r="E127" s="77">
        <f ca="1">IFERROR(__xludf.DUMMYFUNCTION("DATE(VALUE(LEFT($B$2,4)),VALUE(MID($B$2,6,2)),VALUE(RIGHT($B$2,2)))
+ (VALUE(REGEXEXTRACT(INDIRECT(""A""&amp;ROW()+1),""\d+""))-1)*7
+ INT((COLUMN()-COLUMN($B127))/3)
"),46097)</f>
        <v>46097</v>
      </c>
      <c r="F127" s="81"/>
      <c r="G127" s="82"/>
      <c r="H127" s="77">
        <f ca="1">IFERROR(__xludf.DUMMYFUNCTION("DATE(VALUE(LEFT($B$2,4)),VALUE(MID($B$2,6,2)),VALUE(RIGHT($B$2,2)))
+ (VALUE(REGEXEXTRACT(INDIRECT(""A""&amp;ROW()+1),""\d+""))-1)*7
+ INT((COLUMN()-COLUMN($B127))/3)
"),46098)</f>
        <v>46098</v>
      </c>
      <c r="I127" s="81"/>
      <c r="J127" s="82"/>
      <c r="K127" s="77">
        <f ca="1">IFERROR(__xludf.DUMMYFUNCTION("DATE(VALUE(LEFT($B$2,4)),VALUE(MID($B$2,6,2)),VALUE(RIGHT($B$2,2)))
+ (VALUE(REGEXEXTRACT(INDIRECT(""A""&amp;ROW()+1),""\d+""))-1)*7
+ INT((COLUMN()-COLUMN($B127))/3)
"),46099)</f>
        <v>46099</v>
      </c>
      <c r="L127" s="81"/>
      <c r="M127" s="82"/>
      <c r="N127" s="77">
        <f ca="1">IFERROR(__xludf.DUMMYFUNCTION("DATE(VALUE(LEFT($B$2,4)),VALUE(MID($B$2,6,2)),VALUE(RIGHT($B$2,2)))
+ (VALUE(REGEXEXTRACT(INDIRECT(""A""&amp;ROW()+1),""\d+""))-1)*7
+ INT((COLUMN()-COLUMN($B127))/3)
"),46100)</f>
        <v>46100</v>
      </c>
      <c r="O127" s="81"/>
      <c r="P127" s="82"/>
      <c r="Q127" s="77">
        <f ca="1">IFERROR(__xludf.DUMMYFUNCTION("DATE(VALUE(LEFT($B$2,4)),VALUE(MID($B$2,6,2)),VALUE(RIGHT($B$2,2)))
+ (VALUE(REGEXEXTRACT(INDIRECT(""A""&amp;ROW()+1),""\d+""))-1)*7
+ INT((COLUMN()-COLUMN($B127))/3)
"),46101)</f>
        <v>46101</v>
      </c>
      <c r="R127" s="81"/>
      <c r="S127" s="82"/>
      <c r="T127" s="77">
        <f ca="1">IFERROR(__xludf.DUMMYFUNCTION("DATE(VALUE(LEFT($B$2,4)),VALUE(MID($B$2,6,2)),VALUE(RIGHT($B$2,2)))
+ (VALUE(REGEXEXTRACT(INDIRECT(""A""&amp;ROW()+1),""\d+""))-1)*7
+ INT((COLUMN()-COLUMN($B127))/3)
"),46102)</f>
        <v>46102</v>
      </c>
      <c r="U127" s="81"/>
      <c r="V127" s="82"/>
      <c r="W127" s="143"/>
    </row>
    <row r="128" spans="1:23" ht="15.75" customHeight="1">
      <c r="A128" s="51" t="s">
        <v>147</v>
      </c>
      <c r="B128" s="112"/>
      <c r="C128" s="111"/>
      <c r="D128" s="17">
        <f>V126+C128</f>
        <v>-1459</v>
      </c>
      <c r="E128" s="109"/>
      <c r="F128" s="109"/>
      <c r="G128" s="54">
        <f>D138+F128</f>
        <v>-1459</v>
      </c>
      <c r="H128" s="110"/>
      <c r="I128" s="111"/>
      <c r="J128" s="17">
        <f>G138+I128</f>
        <v>-1459</v>
      </c>
      <c r="K128" s="109"/>
      <c r="L128" s="109"/>
      <c r="M128" s="35">
        <f>J138+L128</f>
        <v>-1459</v>
      </c>
      <c r="N128" s="112"/>
      <c r="O128" s="111"/>
      <c r="P128" s="17">
        <f>M138+O128</f>
        <v>-1459</v>
      </c>
      <c r="Q128" s="109"/>
      <c r="R128" s="109"/>
      <c r="S128" s="35">
        <f>P138+R128</f>
        <v>-1459</v>
      </c>
      <c r="T128" s="112"/>
      <c r="U128" s="111"/>
      <c r="V128" s="48">
        <f>S138+U128</f>
        <v>-1459</v>
      </c>
      <c r="W128" s="143"/>
    </row>
    <row r="129" spans="1:23" ht="15.75" customHeight="1">
      <c r="A129" s="114"/>
      <c r="B129" s="106"/>
      <c r="C129" s="107"/>
      <c r="D129" s="26">
        <f t="shared" ref="D129:D138" si="77">D128+C129</f>
        <v>-1459</v>
      </c>
      <c r="E129" s="117"/>
      <c r="F129" s="117"/>
      <c r="G129" s="19">
        <f t="shared" ref="G129:G138" si="78">G128+F129</f>
        <v>-1459</v>
      </c>
      <c r="H129" s="106"/>
      <c r="I129" s="107"/>
      <c r="J129" s="26">
        <f t="shared" ref="J129:J138" si="79">J128+I129</f>
        <v>-1459</v>
      </c>
      <c r="K129" s="117"/>
      <c r="L129" s="117"/>
      <c r="M129" s="38">
        <f t="shared" ref="M129:M138" si="80">M128+L129</f>
        <v>-1459</v>
      </c>
      <c r="N129" s="106"/>
      <c r="O129" s="107"/>
      <c r="P129" s="26">
        <f t="shared" ref="P129:P138" si="81">P128+O129</f>
        <v>-1459</v>
      </c>
      <c r="Q129" s="117"/>
      <c r="R129" s="117"/>
      <c r="S129" s="38">
        <f t="shared" ref="S129:S138" si="82">S128+R129</f>
        <v>-1459</v>
      </c>
      <c r="T129" s="106"/>
      <c r="U129" s="107"/>
      <c r="V129" s="20">
        <f t="shared" ref="V129:V138" si="83">V128+U129</f>
        <v>-1459</v>
      </c>
      <c r="W129" s="143"/>
    </row>
    <row r="130" spans="1:23" ht="15.75" customHeight="1">
      <c r="A130" s="114"/>
      <c r="B130" s="106"/>
      <c r="C130" s="107"/>
      <c r="D130" s="26">
        <f t="shared" si="77"/>
        <v>-1459</v>
      </c>
      <c r="E130" s="117"/>
      <c r="F130" s="117"/>
      <c r="G130" s="19">
        <f t="shared" si="78"/>
        <v>-1459</v>
      </c>
      <c r="H130" s="106"/>
      <c r="I130" s="107"/>
      <c r="J130" s="26">
        <f t="shared" si="79"/>
        <v>-1459</v>
      </c>
      <c r="K130" s="117"/>
      <c r="L130" s="117"/>
      <c r="M130" s="38">
        <f t="shared" si="80"/>
        <v>-1459</v>
      </c>
      <c r="N130" s="106"/>
      <c r="O130" s="107"/>
      <c r="P130" s="26">
        <f t="shared" si="81"/>
        <v>-1459</v>
      </c>
      <c r="Q130" s="117"/>
      <c r="R130" s="117"/>
      <c r="S130" s="38">
        <f t="shared" si="82"/>
        <v>-1459</v>
      </c>
      <c r="T130" s="106"/>
      <c r="U130" s="116"/>
      <c r="V130" s="20">
        <f t="shared" si="83"/>
        <v>-1459</v>
      </c>
      <c r="W130" s="143"/>
    </row>
    <row r="131" spans="1:23" ht="15.75" customHeight="1">
      <c r="A131" s="114"/>
      <c r="B131" s="106"/>
      <c r="C131" s="107"/>
      <c r="D131" s="26">
        <f t="shared" si="77"/>
        <v>-1459</v>
      </c>
      <c r="E131" s="117"/>
      <c r="F131" s="117"/>
      <c r="G131" s="19">
        <f t="shared" si="78"/>
        <v>-1459</v>
      </c>
      <c r="H131" s="106"/>
      <c r="I131" s="107"/>
      <c r="J131" s="26">
        <f t="shared" si="79"/>
        <v>-1459</v>
      </c>
      <c r="K131" s="117"/>
      <c r="L131" s="117"/>
      <c r="M131" s="38">
        <f t="shared" si="80"/>
        <v>-1459</v>
      </c>
      <c r="N131" s="106"/>
      <c r="O131" s="107"/>
      <c r="P131" s="26">
        <f t="shared" si="81"/>
        <v>-1459</v>
      </c>
      <c r="Q131" s="117"/>
      <c r="R131" s="117"/>
      <c r="S131" s="38">
        <f t="shared" si="82"/>
        <v>-1459</v>
      </c>
      <c r="T131" s="106"/>
      <c r="U131" s="116"/>
      <c r="V131" s="20">
        <f t="shared" si="83"/>
        <v>-1459</v>
      </c>
      <c r="W131" s="143"/>
    </row>
    <row r="132" spans="1:23" ht="15.75" customHeight="1">
      <c r="A132" s="114"/>
      <c r="B132" s="106"/>
      <c r="C132" s="107"/>
      <c r="D132" s="26">
        <f t="shared" si="77"/>
        <v>-1459</v>
      </c>
      <c r="E132" s="117"/>
      <c r="F132" s="117"/>
      <c r="G132" s="19">
        <f t="shared" si="78"/>
        <v>-1459</v>
      </c>
      <c r="H132" s="106"/>
      <c r="I132" s="107"/>
      <c r="J132" s="26">
        <f t="shared" si="79"/>
        <v>-1459</v>
      </c>
      <c r="K132" s="117"/>
      <c r="L132" s="117"/>
      <c r="M132" s="38">
        <f t="shared" si="80"/>
        <v>-1459</v>
      </c>
      <c r="N132" s="106"/>
      <c r="O132" s="107"/>
      <c r="P132" s="26">
        <f t="shared" si="81"/>
        <v>-1459</v>
      </c>
      <c r="Q132" s="117"/>
      <c r="R132" s="117"/>
      <c r="S132" s="38">
        <f t="shared" si="82"/>
        <v>-1459</v>
      </c>
      <c r="T132" s="106"/>
      <c r="U132" s="116"/>
      <c r="V132" s="20">
        <f t="shared" si="83"/>
        <v>-1459</v>
      </c>
      <c r="W132" s="143"/>
    </row>
    <row r="133" spans="1:23" ht="15.75" customHeight="1">
      <c r="A133" s="114"/>
      <c r="B133" s="106"/>
      <c r="C133" s="107"/>
      <c r="D133" s="26">
        <f t="shared" si="77"/>
        <v>-1459</v>
      </c>
      <c r="E133" s="117"/>
      <c r="F133" s="117"/>
      <c r="G133" s="19">
        <f t="shared" si="78"/>
        <v>-1459</v>
      </c>
      <c r="H133" s="106"/>
      <c r="I133" s="107"/>
      <c r="J133" s="26">
        <f t="shared" si="79"/>
        <v>-1459</v>
      </c>
      <c r="K133" s="117"/>
      <c r="L133" s="117"/>
      <c r="M133" s="38">
        <f t="shared" si="80"/>
        <v>-1459</v>
      </c>
      <c r="N133" s="106"/>
      <c r="O133" s="107"/>
      <c r="P133" s="26">
        <f t="shared" si="81"/>
        <v>-1459</v>
      </c>
      <c r="Q133" s="117"/>
      <c r="R133" s="117"/>
      <c r="S133" s="38">
        <f t="shared" si="82"/>
        <v>-1459</v>
      </c>
      <c r="T133" s="106"/>
      <c r="U133" s="116"/>
      <c r="V133" s="20">
        <f t="shared" si="83"/>
        <v>-1459</v>
      </c>
      <c r="W133" s="143"/>
    </row>
    <row r="134" spans="1:23" ht="15.75" customHeight="1">
      <c r="A134" s="114"/>
      <c r="B134" s="106"/>
      <c r="C134" s="107"/>
      <c r="D134" s="26">
        <f t="shared" si="77"/>
        <v>-1459</v>
      </c>
      <c r="E134" s="117"/>
      <c r="F134" s="117"/>
      <c r="G134" s="19">
        <f t="shared" si="78"/>
        <v>-1459</v>
      </c>
      <c r="H134" s="106"/>
      <c r="I134" s="107"/>
      <c r="J134" s="26">
        <f t="shared" si="79"/>
        <v>-1459</v>
      </c>
      <c r="K134" s="117"/>
      <c r="L134" s="117"/>
      <c r="M134" s="38">
        <f t="shared" si="80"/>
        <v>-1459</v>
      </c>
      <c r="N134" s="106"/>
      <c r="O134" s="107"/>
      <c r="P134" s="26">
        <f t="shared" si="81"/>
        <v>-1459</v>
      </c>
      <c r="Q134" s="117"/>
      <c r="R134" s="117"/>
      <c r="S134" s="38">
        <f t="shared" si="82"/>
        <v>-1459</v>
      </c>
      <c r="T134" s="106"/>
      <c r="U134" s="116"/>
      <c r="V134" s="20">
        <f t="shared" si="83"/>
        <v>-1459</v>
      </c>
      <c r="W134" s="143"/>
    </row>
    <row r="135" spans="1:23" ht="15.75" customHeight="1">
      <c r="A135" s="114"/>
      <c r="B135" s="106"/>
      <c r="C135" s="107"/>
      <c r="D135" s="26">
        <f t="shared" si="77"/>
        <v>-1459</v>
      </c>
      <c r="E135" s="117"/>
      <c r="F135" s="117"/>
      <c r="G135" s="19">
        <f t="shared" si="78"/>
        <v>-1459</v>
      </c>
      <c r="H135" s="106"/>
      <c r="I135" s="107"/>
      <c r="J135" s="26">
        <f t="shared" si="79"/>
        <v>-1459</v>
      </c>
      <c r="K135" s="117"/>
      <c r="L135" s="117"/>
      <c r="M135" s="38">
        <f t="shared" si="80"/>
        <v>-1459</v>
      </c>
      <c r="N135" s="106"/>
      <c r="O135" s="107"/>
      <c r="P135" s="26">
        <f t="shared" si="81"/>
        <v>-1459</v>
      </c>
      <c r="Q135" s="117"/>
      <c r="R135" s="117"/>
      <c r="S135" s="38">
        <f t="shared" si="82"/>
        <v>-1459</v>
      </c>
      <c r="T135" s="106"/>
      <c r="U135" s="116"/>
      <c r="V135" s="20">
        <f t="shared" si="83"/>
        <v>-1459</v>
      </c>
      <c r="W135" s="143"/>
    </row>
    <row r="136" spans="1:23" ht="15.75" customHeight="1">
      <c r="A136" s="114"/>
      <c r="B136" s="122"/>
      <c r="C136" s="123"/>
      <c r="D136" s="26">
        <f t="shared" si="77"/>
        <v>-1459</v>
      </c>
      <c r="E136" s="117"/>
      <c r="F136" s="117"/>
      <c r="G136" s="19">
        <f t="shared" si="78"/>
        <v>-1459</v>
      </c>
      <c r="H136" s="122"/>
      <c r="I136" s="123"/>
      <c r="J136" s="26">
        <f t="shared" si="79"/>
        <v>-1459</v>
      </c>
      <c r="K136" s="117"/>
      <c r="L136" s="117"/>
      <c r="M136" s="38">
        <f t="shared" si="80"/>
        <v>-1459</v>
      </c>
      <c r="N136" s="122"/>
      <c r="O136" s="123"/>
      <c r="P136" s="26">
        <f t="shared" si="81"/>
        <v>-1459</v>
      </c>
      <c r="Q136" s="117"/>
      <c r="R136" s="117"/>
      <c r="S136" s="38">
        <f t="shared" si="82"/>
        <v>-1459</v>
      </c>
      <c r="T136" s="106"/>
      <c r="U136" s="116"/>
      <c r="V136" s="20">
        <f t="shared" si="83"/>
        <v>-1459</v>
      </c>
      <c r="W136" s="143"/>
    </row>
    <row r="137" spans="1:23" ht="15.75" customHeight="1">
      <c r="A137" s="114"/>
      <c r="B137" s="122"/>
      <c r="C137" s="123"/>
      <c r="D137" s="26">
        <f t="shared" si="77"/>
        <v>-1459</v>
      </c>
      <c r="E137" s="117"/>
      <c r="F137" s="117"/>
      <c r="G137" s="19">
        <f t="shared" si="78"/>
        <v>-1459</v>
      </c>
      <c r="H137" s="122"/>
      <c r="I137" s="123"/>
      <c r="J137" s="26">
        <f t="shared" si="79"/>
        <v>-1459</v>
      </c>
      <c r="K137" s="117"/>
      <c r="L137" s="117"/>
      <c r="M137" s="38">
        <f t="shared" si="80"/>
        <v>-1459</v>
      </c>
      <c r="N137" s="122"/>
      <c r="O137" s="123"/>
      <c r="P137" s="26">
        <f t="shared" si="81"/>
        <v>-1459</v>
      </c>
      <c r="Q137" s="117"/>
      <c r="R137" s="117"/>
      <c r="S137" s="38">
        <f t="shared" si="82"/>
        <v>-1459</v>
      </c>
      <c r="T137" s="122"/>
      <c r="U137" s="124"/>
      <c r="V137" s="20">
        <f t="shared" si="83"/>
        <v>-1459</v>
      </c>
      <c r="W137" s="143"/>
    </row>
    <row r="138" spans="1:23" ht="15.75" customHeight="1">
      <c r="A138" s="114"/>
      <c r="B138" s="122"/>
      <c r="C138" s="123"/>
      <c r="D138" s="39">
        <f t="shared" si="77"/>
        <v>-1459</v>
      </c>
      <c r="E138" s="128"/>
      <c r="F138" s="128"/>
      <c r="G138" s="29">
        <f t="shared" si="78"/>
        <v>-1459</v>
      </c>
      <c r="H138" s="122"/>
      <c r="I138" s="123"/>
      <c r="J138" s="39">
        <f t="shared" si="79"/>
        <v>-1459</v>
      </c>
      <c r="K138" s="128"/>
      <c r="L138" s="128"/>
      <c r="M138" s="40">
        <f t="shared" si="80"/>
        <v>-1459</v>
      </c>
      <c r="N138" s="122"/>
      <c r="O138" s="123"/>
      <c r="P138" s="39">
        <f t="shared" si="81"/>
        <v>-1459</v>
      </c>
      <c r="Q138" s="128"/>
      <c r="R138" s="128"/>
      <c r="S138" s="40">
        <f t="shared" si="82"/>
        <v>-1459</v>
      </c>
      <c r="T138" s="122"/>
      <c r="U138" s="123"/>
      <c r="V138" s="49">
        <f t="shared" si="83"/>
        <v>-1459</v>
      </c>
      <c r="W138" s="143"/>
    </row>
    <row r="139" spans="1:23" ht="15.75" customHeight="1">
      <c r="A139" s="87"/>
      <c r="B139" s="77">
        <f ca="1">IFERROR(__xludf.DUMMYFUNCTION("DATE(VALUE(LEFT($B$2,4)),VALUE(MID($B$2,6,2)),VALUE(RIGHT($B$2,2)))
+ (VALUE(REGEXEXTRACT(INDIRECT(""A""&amp;ROW()+1),""\d+""))-1)*7
+ INT((COLUMN()-COLUMN($B139))/3)
"),46103)</f>
        <v>46103</v>
      </c>
      <c r="C139" s="81"/>
      <c r="D139" s="82"/>
      <c r="E139" s="77">
        <f ca="1">IFERROR(__xludf.DUMMYFUNCTION("DATE(VALUE(LEFT($B$2,4)),VALUE(MID($B$2,6,2)),VALUE(RIGHT($B$2,2)))
+ (VALUE(REGEXEXTRACT(INDIRECT(""A""&amp;ROW()+1),""\d+""))-1)*7
+ INT((COLUMN()-COLUMN($B139))/3)
"),46104)</f>
        <v>46104</v>
      </c>
      <c r="F139" s="81"/>
      <c r="G139" s="82"/>
      <c r="H139" s="77">
        <f ca="1">IFERROR(__xludf.DUMMYFUNCTION("DATE(VALUE(LEFT($B$2,4)),VALUE(MID($B$2,6,2)),VALUE(RIGHT($B$2,2)))
+ (VALUE(REGEXEXTRACT(INDIRECT(""A""&amp;ROW()+1),""\d+""))-1)*7
+ INT((COLUMN()-COLUMN($B139))/3)
"),46105)</f>
        <v>46105</v>
      </c>
      <c r="I139" s="81"/>
      <c r="J139" s="82"/>
      <c r="K139" s="77">
        <f ca="1">IFERROR(__xludf.DUMMYFUNCTION("DATE(VALUE(LEFT($B$2,4)),VALUE(MID($B$2,6,2)),VALUE(RIGHT($B$2,2)))
+ (VALUE(REGEXEXTRACT(INDIRECT(""A""&amp;ROW()+1),""\d+""))-1)*7
+ INT((COLUMN()-COLUMN($B139))/3)
"),46106)</f>
        <v>46106</v>
      </c>
      <c r="L139" s="81"/>
      <c r="M139" s="82"/>
      <c r="N139" s="77">
        <f ca="1">IFERROR(__xludf.DUMMYFUNCTION("DATE(VALUE(LEFT($B$2,4)),VALUE(MID($B$2,6,2)),VALUE(RIGHT($B$2,2)))
+ (VALUE(REGEXEXTRACT(INDIRECT(""A""&amp;ROW()+1),""\d+""))-1)*7
+ INT((COLUMN()-COLUMN($B139))/3)
"),46107)</f>
        <v>46107</v>
      </c>
      <c r="O139" s="81"/>
      <c r="P139" s="82"/>
      <c r="Q139" s="77">
        <f ca="1">IFERROR(__xludf.DUMMYFUNCTION("DATE(VALUE(LEFT($B$2,4)),VALUE(MID($B$2,6,2)),VALUE(RIGHT($B$2,2)))
+ (VALUE(REGEXEXTRACT(INDIRECT(""A""&amp;ROW()+1),""\d+""))-1)*7
+ INT((COLUMN()-COLUMN($B139))/3)
"),46108)</f>
        <v>46108</v>
      </c>
      <c r="R139" s="81"/>
      <c r="S139" s="82"/>
      <c r="T139" s="77">
        <f ca="1">IFERROR(__xludf.DUMMYFUNCTION("DATE(VALUE(LEFT($B$2,4)),VALUE(MID($B$2,6,2)),VALUE(RIGHT($B$2,2)))
+ (VALUE(REGEXEXTRACT(INDIRECT(""A""&amp;ROW()+1),""\d+""))-1)*7
+ INT((COLUMN()-COLUMN($B139))/3)
"),46109)</f>
        <v>46109</v>
      </c>
      <c r="U139" s="81"/>
      <c r="V139" s="82"/>
      <c r="W139" s="52" t="s">
        <v>20</v>
      </c>
    </row>
    <row r="140" spans="1:23" ht="15.75" customHeight="1">
      <c r="A140" s="47" t="s">
        <v>148</v>
      </c>
      <c r="B140" s="109"/>
      <c r="C140" s="109"/>
      <c r="D140" s="50">
        <f>V138+C140</f>
        <v>-1459</v>
      </c>
      <c r="E140" s="112"/>
      <c r="F140" s="111"/>
      <c r="G140" s="17">
        <f>D150+F140</f>
        <v>-1459</v>
      </c>
      <c r="H140" s="132"/>
      <c r="I140" s="109"/>
      <c r="J140" s="42">
        <f>G150+I140</f>
        <v>-1459</v>
      </c>
      <c r="K140" s="110"/>
      <c r="L140" s="111"/>
      <c r="M140" s="18">
        <f>J150+L140</f>
        <v>-1459</v>
      </c>
      <c r="N140" s="113"/>
      <c r="O140" s="109"/>
      <c r="P140" s="35">
        <f>M150+O140</f>
        <v>-1459</v>
      </c>
      <c r="Q140" s="112"/>
      <c r="R140" s="111"/>
      <c r="S140" s="18">
        <f>P150+R140</f>
        <v>-1459</v>
      </c>
      <c r="T140" s="113"/>
      <c r="U140" s="109"/>
      <c r="V140" s="50">
        <f>S150+U140</f>
        <v>-1459</v>
      </c>
      <c r="W140" s="172"/>
    </row>
    <row r="141" spans="1:23" ht="15.75" customHeight="1">
      <c r="A141" s="114"/>
      <c r="B141" s="117"/>
      <c r="C141" s="117"/>
      <c r="D141" s="45">
        <f t="shared" ref="D141:D150" si="84">D140+C141</f>
        <v>-1459</v>
      </c>
      <c r="E141" s="106"/>
      <c r="F141" s="116"/>
      <c r="G141" s="26">
        <f t="shared" ref="G141:G150" si="85">G140+F141</f>
        <v>-1459</v>
      </c>
      <c r="H141" s="133"/>
      <c r="I141" s="117"/>
      <c r="J141" s="19">
        <f t="shared" ref="J141:J150" si="86">J140+I141</f>
        <v>-1459</v>
      </c>
      <c r="K141" s="116"/>
      <c r="L141" s="107"/>
      <c r="M141" s="26">
        <f t="shared" ref="M141:M150" si="87">M140+L141</f>
        <v>-1459</v>
      </c>
      <c r="N141" s="136"/>
      <c r="O141" s="136"/>
      <c r="P141" s="38">
        <f t="shared" ref="P141:P150" si="88">P140+O141</f>
        <v>-1459</v>
      </c>
      <c r="Q141" s="106"/>
      <c r="R141" s="107"/>
      <c r="S141" s="26">
        <f t="shared" ref="S141:S150" si="89">S140+R141</f>
        <v>-1459</v>
      </c>
      <c r="T141" s="136"/>
      <c r="U141" s="136"/>
      <c r="V141" s="45">
        <f t="shared" ref="V141:V150" si="90">V140+U141</f>
        <v>-1459</v>
      </c>
      <c r="W141" s="143"/>
    </row>
    <row r="142" spans="1:23" ht="15.75" customHeight="1">
      <c r="A142" s="114"/>
      <c r="B142" s="117"/>
      <c r="C142" s="117"/>
      <c r="D142" s="45">
        <f t="shared" si="84"/>
        <v>-1459</v>
      </c>
      <c r="E142" s="106"/>
      <c r="F142" s="116"/>
      <c r="G142" s="26">
        <f t="shared" si="85"/>
        <v>-1459</v>
      </c>
      <c r="H142" s="133"/>
      <c r="I142" s="117"/>
      <c r="J142" s="19">
        <f t="shared" si="86"/>
        <v>-1459</v>
      </c>
      <c r="K142" s="116"/>
      <c r="L142" s="107"/>
      <c r="M142" s="26">
        <f t="shared" si="87"/>
        <v>-1459</v>
      </c>
      <c r="N142" s="117"/>
      <c r="O142" s="117"/>
      <c r="P142" s="38">
        <f t="shared" si="88"/>
        <v>-1459</v>
      </c>
      <c r="Q142" s="106"/>
      <c r="R142" s="107"/>
      <c r="S142" s="26">
        <f t="shared" si="89"/>
        <v>-1459</v>
      </c>
      <c r="T142" s="136"/>
      <c r="U142" s="136"/>
      <c r="V142" s="45">
        <f t="shared" si="90"/>
        <v>-1459</v>
      </c>
      <c r="W142" s="143"/>
    </row>
    <row r="143" spans="1:23" ht="15.75" customHeight="1">
      <c r="A143" s="114"/>
      <c r="B143" s="117"/>
      <c r="C143" s="117"/>
      <c r="D143" s="45">
        <f t="shared" si="84"/>
        <v>-1459</v>
      </c>
      <c r="E143" s="106"/>
      <c r="F143" s="116"/>
      <c r="G143" s="26">
        <f t="shared" si="85"/>
        <v>-1459</v>
      </c>
      <c r="H143" s="133"/>
      <c r="I143" s="117"/>
      <c r="J143" s="19">
        <f t="shared" si="86"/>
        <v>-1459</v>
      </c>
      <c r="K143" s="116"/>
      <c r="L143" s="107"/>
      <c r="M143" s="26">
        <f t="shared" si="87"/>
        <v>-1459</v>
      </c>
      <c r="N143" s="117"/>
      <c r="O143" s="117"/>
      <c r="P143" s="38">
        <f t="shared" si="88"/>
        <v>-1459</v>
      </c>
      <c r="Q143" s="106"/>
      <c r="R143" s="116"/>
      <c r="S143" s="26">
        <f t="shared" si="89"/>
        <v>-1459</v>
      </c>
      <c r="T143" s="136"/>
      <c r="U143" s="136"/>
      <c r="V143" s="45">
        <f t="shared" si="90"/>
        <v>-1459</v>
      </c>
      <c r="W143" s="143"/>
    </row>
    <row r="144" spans="1:23" ht="15.75" customHeight="1">
      <c r="A144" s="114"/>
      <c r="B144" s="117"/>
      <c r="C144" s="117"/>
      <c r="D144" s="45">
        <f t="shared" si="84"/>
        <v>-1459</v>
      </c>
      <c r="E144" s="106"/>
      <c r="F144" s="116"/>
      <c r="G144" s="26">
        <f t="shared" si="85"/>
        <v>-1459</v>
      </c>
      <c r="H144" s="133"/>
      <c r="I144" s="117"/>
      <c r="J144" s="19">
        <f t="shared" si="86"/>
        <v>-1459</v>
      </c>
      <c r="K144" s="116"/>
      <c r="L144" s="107"/>
      <c r="M144" s="26">
        <f t="shared" si="87"/>
        <v>-1459</v>
      </c>
      <c r="N144" s="117"/>
      <c r="O144" s="117"/>
      <c r="P144" s="38">
        <f t="shared" si="88"/>
        <v>-1459</v>
      </c>
      <c r="Q144" s="106"/>
      <c r="R144" s="116"/>
      <c r="S144" s="26">
        <f t="shared" si="89"/>
        <v>-1459</v>
      </c>
      <c r="T144" s="136"/>
      <c r="U144" s="136"/>
      <c r="V144" s="45">
        <f t="shared" si="90"/>
        <v>-1459</v>
      </c>
      <c r="W144" s="143"/>
    </row>
    <row r="145" spans="1:23" ht="15.75" customHeight="1">
      <c r="A145" s="114"/>
      <c r="B145" s="117"/>
      <c r="C145" s="117"/>
      <c r="D145" s="45">
        <f t="shared" si="84"/>
        <v>-1459</v>
      </c>
      <c r="E145" s="106"/>
      <c r="F145" s="116"/>
      <c r="G145" s="26">
        <f t="shared" si="85"/>
        <v>-1459</v>
      </c>
      <c r="H145" s="133"/>
      <c r="I145" s="117"/>
      <c r="J145" s="19">
        <f t="shared" si="86"/>
        <v>-1459</v>
      </c>
      <c r="K145" s="116"/>
      <c r="L145" s="107"/>
      <c r="M145" s="26">
        <f t="shared" si="87"/>
        <v>-1459</v>
      </c>
      <c r="N145" s="117"/>
      <c r="O145" s="117"/>
      <c r="P145" s="38">
        <f t="shared" si="88"/>
        <v>-1459</v>
      </c>
      <c r="Q145" s="106"/>
      <c r="R145" s="116"/>
      <c r="S145" s="26">
        <f t="shared" si="89"/>
        <v>-1459</v>
      </c>
      <c r="T145" s="136"/>
      <c r="U145" s="136"/>
      <c r="V145" s="45">
        <f t="shared" si="90"/>
        <v>-1459</v>
      </c>
      <c r="W145" s="143"/>
    </row>
    <row r="146" spans="1:23" ht="15.75" customHeight="1">
      <c r="A146" s="114"/>
      <c r="B146" s="117"/>
      <c r="C146" s="117"/>
      <c r="D146" s="45">
        <f t="shared" si="84"/>
        <v>-1459</v>
      </c>
      <c r="E146" s="106"/>
      <c r="F146" s="107"/>
      <c r="G146" s="26">
        <f t="shared" si="85"/>
        <v>-1459</v>
      </c>
      <c r="H146" s="133"/>
      <c r="I146" s="117"/>
      <c r="J146" s="19">
        <f t="shared" si="86"/>
        <v>-1459</v>
      </c>
      <c r="K146" s="116"/>
      <c r="L146" s="107"/>
      <c r="M146" s="26">
        <f t="shared" si="87"/>
        <v>-1459</v>
      </c>
      <c r="N146" s="117"/>
      <c r="O146" s="117"/>
      <c r="P146" s="38">
        <f t="shared" si="88"/>
        <v>-1459</v>
      </c>
      <c r="Q146" s="106"/>
      <c r="R146" s="107"/>
      <c r="S146" s="26">
        <f t="shared" si="89"/>
        <v>-1459</v>
      </c>
      <c r="T146" s="136"/>
      <c r="U146" s="136"/>
      <c r="V146" s="45">
        <f t="shared" si="90"/>
        <v>-1459</v>
      </c>
      <c r="W146" s="143"/>
    </row>
    <row r="147" spans="1:23" ht="15.75" customHeight="1">
      <c r="A147" s="114"/>
      <c r="B147" s="117"/>
      <c r="C147" s="117"/>
      <c r="D147" s="45">
        <f t="shared" si="84"/>
        <v>-1459</v>
      </c>
      <c r="E147" s="106"/>
      <c r="F147" s="107"/>
      <c r="G147" s="26">
        <f t="shared" si="85"/>
        <v>-1459</v>
      </c>
      <c r="H147" s="133"/>
      <c r="I147" s="117"/>
      <c r="J147" s="19">
        <f t="shared" si="86"/>
        <v>-1459</v>
      </c>
      <c r="K147" s="116"/>
      <c r="L147" s="107"/>
      <c r="M147" s="26">
        <f t="shared" si="87"/>
        <v>-1459</v>
      </c>
      <c r="N147" s="117"/>
      <c r="O147" s="117"/>
      <c r="P147" s="38">
        <f t="shared" si="88"/>
        <v>-1459</v>
      </c>
      <c r="Q147" s="106"/>
      <c r="R147" s="107"/>
      <c r="S147" s="26">
        <f t="shared" si="89"/>
        <v>-1459</v>
      </c>
      <c r="T147" s="136"/>
      <c r="U147" s="136"/>
      <c r="V147" s="45">
        <f t="shared" si="90"/>
        <v>-1459</v>
      </c>
      <c r="W147" s="143"/>
    </row>
    <row r="148" spans="1:23" ht="15.75" customHeight="1">
      <c r="A148" s="114"/>
      <c r="B148" s="117"/>
      <c r="C148" s="117"/>
      <c r="D148" s="45">
        <f t="shared" si="84"/>
        <v>-1459</v>
      </c>
      <c r="E148" s="106"/>
      <c r="F148" s="107"/>
      <c r="G148" s="26">
        <f t="shared" si="85"/>
        <v>-1459</v>
      </c>
      <c r="H148" s="133"/>
      <c r="I148" s="117"/>
      <c r="J148" s="19">
        <f t="shared" si="86"/>
        <v>-1459</v>
      </c>
      <c r="K148" s="116"/>
      <c r="L148" s="107"/>
      <c r="M148" s="26">
        <f t="shared" si="87"/>
        <v>-1459</v>
      </c>
      <c r="N148" s="117"/>
      <c r="O148" s="117"/>
      <c r="P148" s="38">
        <f t="shared" si="88"/>
        <v>-1459</v>
      </c>
      <c r="Q148" s="106"/>
      <c r="R148" s="107"/>
      <c r="S148" s="26">
        <f t="shared" si="89"/>
        <v>-1459</v>
      </c>
      <c r="T148" s="136"/>
      <c r="U148" s="136"/>
      <c r="V148" s="45">
        <f t="shared" si="90"/>
        <v>-1459</v>
      </c>
      <c r="W148" s="143"/>
    </row>
    <row r="149" spans="1:23" ht="15.75" customHeight="1">
      <c r="A149" s="114"/>
      <c r="B149" s="117"/>
      <c r="C149" s="117"/>
      <c r="D149" s="45">
        <f t="shared" si="84"/>
        <v>-1459</v>
      </c>
      <c r="E149" s="122"/>
      <c r="F149" s="123"/>
      <c r="G149" s="26">
        <f t="shared" si="85"/>
        <v>-1459</v>
      </c>
      <c r="H149" s="133"/>
      <c r="I149" s="117"/>
      <c r="J149" s="19">
        <f t="shared" si="86"/>
        <v>-1459</v>
      </c>
      <c r="K149" s="124"/>
      <c r="L149" s="123"/>
      <c r="M149" s="26">
        <f t="shared" si="87"/>
        <v>-1459</v>
      </c>
      <c r="N149" s="117"/>
      <c r="O149" s="117"/>
      <c r="P149" s="38">
        <f t="shared" si="88"/>
        <v>-1459</v>
      </c>
      <c r="Q149" s="122"/>
      <c r="R149" s="123"/>
      <c r="S149" s="26">
        <f t="shared" si="89"/>
        <v>-1459</v>
      </c>
      <c r="T149" s="136"/>
      <c r="U149" s="136"/>
      <c r="V149" s="45">
        <f t="shared" si="90"/>
        <v>-1459</v>
      </c>
      <c r="W149" s="143"/>
    </row>
    <row r="150" spans="1:23" ht="15.75" customHeight="1">
      <c r="A150" s="114"/>
      <c r="B150" s="128"/>
      <c r="C150" s="128"/>
      <c r="D150" s="46">
        <f t="shared" si="84"/>
        <v>-1459</v>
      </c>
      <c r="E150" s="122"/>
      <c r="F150" s="123"/>
      <c r="G150" s="39">
        <f t="shared" si="85"/>
        <v>-1459</v>
      </c>
      <c r="H150" s="140"/>
      <c r="I150" s="128"/>
      <c r="J150" s="29">
        <f t="shared" si="86"/>
        <v>-1459</v>
      </c>
      <c r="K150" s="124"/>
      <c r="L150" s="123"/>
      <c r="M150" s="39">
        <f t="shared" si="87"/>
        <v>-1459</v>
      </c>
      <c r="N150" s="128"/>
      <c r="O150" s="128"/>
      <c r="P150" s="40">
        <f t="shared" si="88"/>
        <v>-1459</v>
      </c>
      <c r="Q150" s="122"/>
      <c r="R150" s="123"/>
      <c r="S150" s="39">
        <f t="shared" si="89"/>
        <v>-1459</v>
      </c>
      <c r="T150" s="141"/>
      <c r="U150" s="141"/>
      <c r="V150" s="46">
        <f t="shared" si="90"/>
        <v>-1459</v>
      </c>
      <c r="W150" s="143"/>
    </row>
    <row r="151" spans="1:23" ht="15.75" customHeight="1">
      <c r="A151" s="87"/>
      <c r="B151" s="77">
        <f ca="1">IFERROR(__xludf.DUMMYFUNCTION("DATE(VALUE(LEFT($B$2,4)),VALUE(MID($B$2,6,2)),VALUE(RIGHT($B$2,2)))
+ (VALUE(REGEXEXTRACT(INDIRECT(""A""&amp;ROW()+1),""\d+""))-1)*7
+ INT((COLUMN()-COLUMN($B151))/3)
"),46110)</f>
        <v>46110</v>
      </c>
      <c r="C151" s="81"/>
      <c r="D151" s="82"/>
      <c r="E151" s="77">
        <f ca="1">IFERROR(__xludf.DUMMYFUNCTION("DATE(VALUE(LEFT($B$2,4)),VALUE(MID($B$2,6,2)),VALUE(RIGHT($B$2,2)))
+ (VALUE(REGEXEXTRACT(INDIRECT(""A""&amp;ROW()+1),""\d+""))-1)*7
+ INT((COLUMN()-COLUMN($B151))/3)
"),46111)</f>
        <v>46111</v>
      </c>
      <c r="F151" s="81"/>
      <c r="G151" s="82"/>
      <c r="H151" s="77">
        <f ca="1">IFERROR(__xludf.DUMMYFUNCTION("DATE(VALUE(LEFT($B$2,4)),VALUE(MID($B$2,6,2)),VALUE(RIGHT($B$2,2)))
+ (VALUE(REGEXEXTRACT(INDIRECT(""A""&amp;ROW()+1),""\d+""))-1)*7
+ INT((COLUMN()-COLUMN($B151))/3)
"),46112)</f>
        <v>46112</v>
      </c>
      <c r="I151" s="81"/>
      <c r="J151" s="82"/>
      <c r="K151" s="77">
        <f ca="1">IFERROR(__xludf.DUMMYFUNCTION("DATE(VALUE(LEFT($B$2,4)),VALUE(MID($B$2,6,2)),VALUE(RIGHT($B$2,2)))
+ (VALUE(REGEXEXTRACT(INDIRECT(""A""&amp;ROW()+1),""\d+""))-1)*7
+ INT((COLUMN()-COLUMN($B151))/3)
"),46113)</f>
        <v>46113</v>
      </c>
      <c r="L151" s="81"/>
      <c r="M151" s="82"/>
      <c r="N151" s="77">
        <f ca="1">IFERROR(__xludf.DUMMYFUNCTION("DATE(VALUE(LEFT($B$2,4)),VALUE(MID($B$2,6,2)),VALUE(RIGHT($B$2,2)))
+ (VALUE(REGEXEXTRACT(INDIRECT(""A""&amp;ROW()+1),""\d+""))-1)*7
+ INT((COLUMN()-COLUMN($B151))/3)
"),46114)</f>
        <v>46114</v>
      </c>
      <c r="O151" s="81"/>
      <c r="P151" s="82"/>
      <c r="Q151" s="77">
        <f ca="1">IFERROR(__xludf.DUMMYFUNCTION("DATE(VALUE(LEFT($B$2,4)),VALUE(MID($B$2,6,2)),VALUE(RIGHT($B$2,2)))
+ (VALUE(REGEXEXTRACT(INDIRECT(""A""&amp;ROW()+1),""\d+""))-1)*7
+ INT((COLUMN()-COLUMN($B151))/3)
"),46115)</f>
        <v>46115</v>
      </c>
      <c r="R151" s="81"/>
      <c r="S151" s="82"/>
      <c r="T151" s="77">
        <f ca="1">IFERROR(__xludf.DUMMYFUNCTION("DATE(VALUE(LEFT($B$2,4)),VALUE(MID($B$2,6,2)),VALUE(RIGHT($B$2,2)))
+ (VALUE(REGEXEXTRACT(INDIRECT(""A""&amp;ROW()+1),""\d+""))-1)*7
+ INT((COLUMN()-COLUMN($B151))/3)
"),46116)</f>
        <v>46116</v>
      </c>
      <c r="U151" s="81"/>
      <c r="V151" s="82"/>
      <c r="W151" s="143"/>
    </row>
    <row r="152" spans="1:23" ht="15.75" customHeight="1">
      <c r="A152" s="51" t="s">
        <v>149</v>
      </c>
      <c r="B152" s="112"/>
      <c r="C152" s="111"/>
      <c r="D152" s="48">
        <f>V150+C152</f>
        <v>-1459</v>
      </c>
      <c r="E152" s="113"/>
      <c r="F152" s="109"/>
      <c r="G152" s="42">
        <f>D162+F152</f>
        <v>-1459</v>
      </c>
      <c r="H152" s="110"/>
      <c r="I152" s="111"/>
      <c r="J152" s="17">
        <f>G162+I152</f>
        <v>-1459</v>
      </c>
      <c r="K152" s="132"/>
      <c r="L152" s="109"/>
      <c r="M152" s="35">
        <f>J162+L152</f>
        <v>-1459</v>
      </c>
      <c r="N152" s="112"/>
      <c r="O152" s="111"/>
      <c r="P152" s="17">
        <f>M162+O152</f>
        <v>-1459</v>
      </c>
      <c r="Q152" s="109"/>
      <c r="R152" s="109"/>
      <c r="S152" s="35">
        <f>P162+R152</f>
        <v>-1459</v>
      </c>
      <c r="T152" s="112"/>
      <c r="U152" s="111"/>
      <c r="V152" s="48">
        <f>S162+U152</f>
        <v>-1459</v>
      </c>
      <c r="W152" s="143"/>
    </row>
    <row r="153" spans="1:23" ht="15.75" customHeight="1">
      <c r="A153" s="114"/>
      <c r="B153" s="106"/>
      <c r="C153" s="107"/>
      <c r="D153" s="20">
        <f t="shared" ref="D153:D162" si="91">D152+C153</f>
        <v>-1459</v>
      </c>
      <c r="E153" s="118"/>
      <c r="F153" s="117"/>
      <c r="G153" s="19">
        <f t="shared" ref="G153:G162" si="92">G152+F153</f>
        <v>-1459</v>
      </c>
      <c r="H153" s="116"/>
      <c r="I153" s="107"/>
      <c r="J153" s="26">
        <f t="shared" ref="J153:J162" si="93">J152+I153</f>
        <v>-1459</v>
      </c>
      <c r="K153" s="133"/>
      <c r="L153" s="117"/>
      <c r="M153" s="38">
        <f t="shared" ref="M153:M162" si="94">M152+L153</f>
        <v>-1459</v>
      </c>
      <c r="N153" s="106"/>
      <c r="O153" s="107"/>
      <c r="P153" s="26">
        <f t="shared" ref="P153:P162" si="95">P152+O153</f>
        <v>-1459</v>
      </c>
      <c r="Q153" s="117"/>
      <c r="R153" s="117"/>
      <c r="S153" s="38">
        <f t="shared" ref="S153:S162" si="96">S152+R153</f>
        <v>-1459</v>
      </c>
      <c r="T153" s="106"/>
      <c r="U153" s="107"/>
      <c r="V153" s="20">
        <f t="shared" ref="V153:V162" si="97">V152+U153</f>
        <v>-1459</v>
      </c>
      <c r="W153" s="143"/>
    </row>
    <row r="154" spans="1:23" ht="15.75" customHeight="1">
      <c r="A154" s="114"/>
      <c r="B154" s="106"/>
      <c r="C154" s="107"/>
      <c r="D154" s="20">
        <f t="shared" si="91"/>
        <v>-1459</v>
      </c>
      <c r="E154" s="118"/>
      <c r="F154" s="117"/>
      <c r="G154" s="19">
        <f t="shared" si="92"/>
        <v>-1459</v>
      </c>
      <c r="H154" s="116"/>
      <c r="I154" s="107"/>
      <c r="J154" s="26">
        <f t="shared" si="93"/>
        <v>-1459</v>
      </c>
      <c r="K154" s="133"/>
      <c r="L154" s="117"/>
      <c r="M154" s="38">
        <f t="shared" si="94"/>
        <v>-1459</v>
      </c>
      <c r="N154" s="106"/>
      <c r="O154" s="107"/>
      <c r="P154" s="26">
        <f t="shared" si="95"/>
        <v>-1459</v>
      </c>
      <c r="Q154" s="117"/>
      <c r="R154" s="117"/>
      <c r="S154" s="38">
        <f t="shared" si="96"/>
        <v>-1459</v>
      </c>
      <c r="T154" s="106"/>
      <c r="U154" s="116"/>
      <c r="V154" s="20">
        <f t="shared" si="97"/>
        <v>-1459</v>
      </c>
      <c r="W154" s="143"/>
    </row>
    <row r="155" spans="1:23" ht="15.75" customHeight="1">
      <c r="A155" s="114"/>
      <c r="B155" s="106"/>
      <c r="C155" s="107"/>
      <c r="D155" s="20">
        <f t="shared" si="91"/>
        <v>-1459</v>
      </c>
      <c r="E155" s="118"/>
      <c r="F155" s="117"/>
      <c r="G155" s="19">
        <f t="shared" si="92"/>
        <v>-1459</v>
      </c>
      <c r="H155" s="116"/>
      <c r="I155" s="107"/>
      <c r="J155" s="26">
        <f t="shared" si="93"/>
        <v>-1459</v>
      </c>
      <c r="K155" s="133"/>
      <c r="L155" s="117"/>
      <c r="M155" s="38">
        <f t="shared" si="94"/>
        <v>-1459</v>
      </c>
      <c r="N155" s="106"/>
      <c r="O155" s="107"/>
      <c r="P155" s="26">
        <f t="shared" si="95"/>
        <v>-1459</v>
      </c>
      <c r="Q155" s="117"/>
      <c r="R155" s="117"/>
      <c r="S155" s="38">
        <f t="shared" si="96"/>
        <v>-1459</v>
      </c>
      <c r="T155" s="106"/>
      <c r="U155" s="116"/>
      <c r="V155" s="20">
        <f t="shared" si="97"/>
        <v>-1459</v>
      </c>
      <c r="W155" s="143"/>
    </row>
    <row r="156" spans="1:23" ht="15.75" customHeight="1">
      <c r="A156" s="114"/>
      <c r="B156" s="106"/>
      <c r="C156" s="107"/>
      <c r="D156" s="20">
        <f t="shared" si="91"/>
        <v>-1459</v>
      </c>
      <c r="E156" s="118"/>
      <c r="F156" s="117"/>
      <c r="G156" s="19">
        <f t="shared" si="92"/>
        <v>-1459</v>
      </c>
      <c r="H156" s="116"/>
      <c r="I156" s="107"/>
      <c r="J156" s="26">
        <f t="shared" si="93"/>
        <v>-1459</v>
      </c>
      <c r="K156" s="133"/>
      <c r="L156" s="117"/>
      <c r="M156" s="38">
        <f t="shared" si="94"/>
        <v>-1459</v>
      </c>
      <c r="N156" s="106"/>
      <c r="O156" s="107"/>
      <c r="P156" s="26">
        <f t="shared" si="95"/>
        <v>-1459</v>
      </c>
      <c r="Q156" s="117"/>
      <c r="R156" s="117"/>
      <c r="S156" s="38">
        <f t="shared" si="96"/>
        <v>-1459</v>
      </c>
      <c r="T156" s="106"/>
      <c r="U156" s="116"/>
      <c r="V156" s="20">
        <f t="shared" si="97"/>
        <v>-1459</v>
      </c>
      <c r="W156" s="143"/>
    </row>
    <row r="157" spans="1:23" ht="15.75" customHeight="1">
      <c r="A157" s="114"/>
      <c r="B157" s="106"/>
      <c r="C157" s="107"/>
      <c r="D157" s="20">
        <f t="shared" si="91"/>
        <v>-1459</v>
      </c>
      <c r="E157" s="118"/>
      <c r="F157" s="117"/>
      <c r="G157" s="19">
        <f t="shared" si="92"/>
        <v>-1459</v>
      </c>
      <c r="H157" s="116"/>
      <c r="I157" s="107"/>
      <c r="J157" s="26">
        <f t="shared" si="93"/>
        <v>-1459</v>
      </c>
      <c r="K157" s="117"/>
      <c r="L157" s="117"/>
      <c r="M157" s="38">
        <f t="shared" si="94"/>
        <v>-1459</v>
      </c>
      <c r="N157" s="106"/>
      <c r="O157" s="107"/>
      <c r="P157" s="26">
        <f t="shared" si="95"/>
        <v>-1459</v>
      </c>
      <c r="Q157" s="117"/>
      <c r="R157" s="117"/>
      <c r="S157" s="38">
        <f t="shared" si="96"/>
        <v>-1459</v>
      </c>
      <c r="T157" s="106"/>
      <c r="U157" s="116"/>
      <c r="V157" s="20">
        <f t="shared" si="97"/>
        <v>-1459</v>
      </c>
      <c r="W157" s="143"/>
    </row>
    <row r="158" spans="1:23" ht="15.75" customHeight="1">
      <c r="A158" s="114"/>
      <c r="B158" s="106"/>
      <c r="C158" s="107"/>
      <c r="D158" s="20">
        <f t="shared" si="91"/>
        <v>-1459</v>
      </c>
      <c r="E158" s="118"/>
      <c r="F158" s="117"/>
      <c r="G158" s="19">
        <f t="shared" si="92"/>
        <v>-1459</v>
      </c>
      <c r="H158" s="116"/>
      <c r="I158" s="107"/>
      <c r="J158" s="26">
        <f t="shared" si="93"/>
        <v>-1459</v>
      </c>
      <c r="K158" s="117"/>
      <c r="L158" s="117"/>
      <c r="M158" s="38">
        <f t="shared" si="94"/>
        <v>-1459</v>
      </c>
      <c r="N158" s="106"/>
      <c r="O158" s="107"/>
      <c r="P158" s="26">
        <f t="shared" si="95"/>
        <v>-1459</v>
      </c>
      <c r="Q158" s="117"/>
      <c r="R158" s="117"/>
      <c r="S158" s="38">
        <f t="shared" si="96"/>
        <v>-1459</v>
      </c>
      <c r="T158" s="106"/>
      <c r="U158" s="116"/>
      <c r="V158" s="20">
        <f t="shared" si="97"/>
        <v>-1459</v>
      </c>
      <c r="W158" s="143"/>
    </row>
    <row r="159" spans="1:23" ht="15.75" customHeight="1">
      <c r="A159" s="114"/>
      <c r="B159" s="106"/>
      <c r="C159" s="107"/>
      <c r="D159" s="20">
        <f t="shared" si="91"/>
        <v>-1459</v>
      </c>
      <c r="E159" s="118"/>
      <c r="F159" s="117"/>
      <c r="G159" s="19">
        <f t="shared" si="92"/>
        <v>-1459</v>
      </c>
      <c r="H159" s="116"/>
      <c r="I159" s="107"/>
      <c r="J159" s="26">
        <f t="shared" si="93"/>
        <v>-1459</v>
      </c>
      <c r="K159" s="117"/>
      <c r="L159" s="117"/>
      <c r="M159" s="38">
        <f t="shared" si="94"/>
        <v>-1459</v>
      </c>
      <c r="N159" s="106"/>
      <c r="O159" s="107"/>
      <c r="P159" s="26">
        <f t="shared" si="95"/>
        <v>-1459</v>
      </c>
      <c r="Q159" s="117"/>
      <c r="R159" s="117"/>
      <c r="S159" s="38">
        <f t="shared" si="96"/>
        <v>-1459</v>
      </c>
      <c r="T159" s="106"/>
      <c r="U159" s="116"/>
      <c r="V159" s="20">
        <f t="shared" si="97"/>
        <v>-1459</v>
      </c>
      <c r="W159" s="143"/>
    </row>
    <row r="160" spans="1:23" ht="15.75" customHeight="1">
      <c r="A160" s="114"/>
      <c r="B160" s="122"/>
      <c r="C160" s="123"/>
      <c r="D160" s="20">
        <f t="shared" si="91"/>
        <v>-1459</v>
      </c>
      <c r="E160" s="118"/>
      <c r="F160" s="117"/>
      <c r="G160" s="19">
        <f t="shared" si="92"/>
        <v>-1459</v>
      </c>
      <c r="H160" s="124"/>
      <c r="I160" s="123"/>
      <c r="J160" s="26">
        <f t="shared" si="93"/>
        <v>-1459</v>
      </c>
      <c r="K160" s="117"/>
      <c r="L160" s="117"/>
      <c r="M160" s="38">
        <f t="shared" si="94"/>
        <v>-1459</v>
      </c>
      <c r="N160" s="106"/>
      <c r="O160" s="107"/>
      <c r="P160" s="26">
        <f t="shared" si="95"/>
        <v>-1459</v>
      </c>
      <c r="Q160" s="117"/>
      <c r="R160" s="117"/>
      <c r="S160" s="38">
        <f t="shared" si="96"/>
        <v>-1459</v>
      </c>
      <c r="T160" s="106"/>
      <c r="U160" s="116"/>
      <c r="V160" s="20">
        <f t="shared" si="97"/>
        <v>-1459</v>
      </c>
      <c r="W160" s="143"/>
    </row>
    <row r="161" spans="1:23" ht="15.75" customHeight="1">
      <c r="A161" s="114"/>
      <c r="B161" s="122"/>
      <c r="C161" s="123"/>
      <c r="D161" s="20">
        <f t="shared" si="91"/>
        <v>-1459</v>
      </c>
      <c r="E161" s="118"/>
      <c r="F161" s="117"/>
      <c r="G161" s="19">
        <f t="shared" si="92"/>
        <v>-1459</v>
      </c>
      <c r="H161" s="124"/>
      <c r="I161" s="123"/>
      <c r="J161" s="26">
        <f t="shared" si="93"/>
        <v>-1459</v>
      </c>
      <c r="K161" s="118"/>
      <c r="L161" s="117"/>
      <c r="M161" s="38">
        <f t="shared" si="94"/>
        <v>-1459</v>
      </c>
      <c r="N161" s="106"/>
      <c r="O161" s="107"/>
      <c r="P161" s="26">
        <f t="shared" si="95"/>
        <v>-1459</v>
      </c>
      <c r="Q161" s="117"/>
      <c r="R161" s="117"/>
      <c r="S161" s="38">
        <f t="shared" si="96"/>
        <v>-1459</v>
      </c>
      <c r="T161" s="122"/>
      <c r="U161" s="124"/>
      <c r="V161" s="20">
        <f t="shared" si="97"/>
        <v>-1459</v>
      </c>
      <c r="W161" s="143"/>
    </row>
    <row r="162" spans="1:23" ht="15.75" customHeight="1">
      <c r="A162" s="114"/>
      <c r="B162" s="122"/>
      <c r="C162" s="123"/>
      <c r="D162" s="49">
        <f t="shared" si="91"/>
        <v>-1459</v>
      </c>
      <c r="E162" s="154"/>
      <c r="F162" s="128"/>
      <c r="G162" s="29">
        <f t="shared" si="92"/>
        <v>-1459</v>
      </c>
      <c r="H162" s="124"/>
      <c r="I162" s="123"/>
      <c r="J162" s="39">
        <f t="shared" si="93"/>
        <v>-1459</v>
      </c>
      <c r="K162" s="140"/>
      <c r="L162" s="128"/>
      <c r="M162" s="40">
        <f t="shared" si="94"/>
        <v>-1459</v>
      </c>
      <c r="N162" s="122"/>
      <c r="O162" s="123"/>
      <c r="P162" s="39">
        <f t="shared" si="95"/>
        <v>-1459</v>
      </c>
      <c r="Q162" s="128"/>
      <c r="R162" s="128"/>
      <c r="S162" s="40">
        <f t="shared" si="96"/>
        <v>-1459</v>
      </c>
      <c r="T162" s="122"/>
      <c r="U162" s="123"/>
      <c r="V162" s="49">
        <f t="shared" si="97"/>
        <v>-1459</v>
      </c>
      <c r="W162" s="143"/>
    </row>
    <row r="163" spans="1:23" ht="15.75" customHeight="1">
      <c r="A163" s="87"/>
      <c r="B163" s="77">
        <f ca="1">IFERROR(__xludf.DUMMYFUNCTION("DATE(VALUE(LEFT($B$2,4)),VALUE(MID($B$2,6,2)),VALUE(RIGHT($B$2,2)))
+ (VALUE(REGEXEXTRACT(INDIRECT(""A""&amp;ROW()+1),""\d+""))-1)*7
+ INT((COLUMN()-COLUMN($B163))/3)
"),46117)</f>
        <v>46117</v>
      </c>
      <c r="C163" s="81"/>
      <c r="D163" s="82"/>
      <c r="E163" s="77">
        <f ca="1">IFERROR(__xludf.DUMMYFUNCTION("DATE(VALUE(LEFT($B$2,4)),VALUE(MID($B$2,6,2)),VALUE(RIGHT($B$2,2)))
+ (VALUE(REGEXEXTRACT(INDIRECT(""A""&amp;ROW()+1),""\d+""))-1)*7
+ INT((COLUMN()-COLUMN($B163))/3)
"),46118)</f>
        <v>46118</v>
      </c>
      <c r="F163" s="81"/>
      <c r="G163" s="82"/>
      <c r="H163" s="77">
        <f ca="1">IFERROR(__xludf.DUMMYFUNCTION("DATE(VALUE(LEFT($B$2,4)),VALUE(MID($B$2,6,2)),VALUE(RIGHT($B$2,2)))
+ (VALUE(REGEXEXTRACT(INDIRECT(""A""&amp;ROW()+1),""\d+""))-1)*7
+ INT((COLUMN()-COLUMN($B163))/3)
"),46119)</f>
        <v>46119</v>
      </c>
      <c r="I163" s="81"/>
      <c r="J163" s="82"/>
      <c r="K163" s="77">
        <f ca="1">IFERROR(__xludf.DUMMYFUNCTION("DATE(VALUE(LEFT($B$2,4)),VALUE(MID($B$2,6,2)),VALUE(RIGHT($B$2,2)))
+ (VALUE(REGEXEXTRACT(INDIRECT(""A""&amp;ROW()+1),""\d+""))-1)*7
+ INT((COLUMN()-COLUMN($B163))/3)
"),46120)</f>
        <v>46120</v>
      </c>
      <c r="L163" s="81"/>
      <c r="M163" s="82"/>
      <c r="N163" s="77">
        <f ca="1">IFERROR(__xludf.DUMMYFUNCTION("DATE(VALUE(LEFT($B$2,4)),VALUE(MID($B$2,6,2)),VALUE(RIGHT($B$2,2)))
+ (VALUE(REGEXEXTRACT(INDIRECT(""A""&amp;ROW()+1),""\d+""))-1)*7
+ INT((COLUMN()-COLUMN($B163))/3)
"),46121)</f>
        <v>46121</v>
      </c>
      <c r="O163" s="81"/>
      <c r="P163" s="82"/>
      <c r="Q163" s="77">
        <f ca="1">IFERROR(__xludf.DUMMYFUNCTION("DATE(VALUE(LEFT($B$2,4)),VALUE(MID($B$2,6,2)),VALUE(RIGHT($B$2,2)))
+ (VALUE(REGEXEXTRACT(INDIRECT(""A""&amp;ROW()+1),""\d+""))-1)*7
+ INT((COLUMN()-COLUMN($B163))/3)
"),46122)</f>
        <v>46122</v>
      </c>
      <c r="R163" s="81"/>
      <c r="S163" s="82"/>
      <c r="T163" s="77">
        <f ca="1">IFERROR(__xludf.DUMMYFUNCTION("DATE(VALUE(LEFT($B$2,4)),VALUE(MID($B$2,6,2)),VALUE(RIGHT($B$2,2)))
+ (VALUE(REGEXEXTRACT(INDIRECT(""A""&amp;ROW()+1),""\d+""))-1)*7
+ INT((COLUMN()-COLUMN($B163))/3)
"),46123)</f>
        <v>46123</v>
      </c>
      <c r="U163" s="81"/>
      <c r="V163" s="82"/>
      <c r="W163" s="52" t="s">
        <v>20</v>
      </c>
    </row>
    <row r="164" spans="1:23" ht="15.75" customHeight="1">
      <c r="A164" s="47" t="s">
        <v>150</v>
      </c>
      <c r="B164" s="109"/>
      <c r="C164" s="109"/>
      <c r="D164" s="50">
        <f>V162+C164</f>
        <v>-1459</v>
      </c>
      <c r="E164" s="112"/>
      <c r="F164" s="111"/>
      <c r="G164" s="17">
        <f>D174+F164</f>
        <v>-1459</v>
      </c>
      <c r="H164" s="132"/>
      <c r="I164" s="109"/>
      <c r="J164" s="42">
        <f>G174+I164</f>
        <v>-1459</v>
      </c>
      <c r="K164" s="110"/>
      <c r="L164" s="111"/>
      <c r="M164" s="18">
        <f>J174+L164</f>
        <v>-1459</v>
      </c>
      <c r="N164" s="113"/>
      <c r="O164" s="109"/>
      <c r="P164" s="35">
        <f>M174+O164</f>
        <v>-1459</v>
      </c>
      <c r="Q164" s="112"/>
      <c r="R164" s="111"/>
      <c r="S164" s="18">
        <f>P174+R164</f>
        <v>-1459</v>
      </c>
      <c r="T164" s="113"/>
      <c r="U164" s="109"/>
      <c r="V164" s="50">
        <f>S174+U164</f>
        <v>-1459</v>
      </c>
      <c r="W164" s="172"/>
    </row>
    <row r="165" spans="1:23" ht="15.75" customHeight="1">
      <c r="A165" s="114"/>
      <c r="B165" s="117"/>
      <c r="C165" s="117"/>
      <c r="D165" s="45">
        <f t="shared" ref="D165:D174" si="98">D164+C165</f>
        <v>-1459</v>
      </c>
      <c r="E165" s="106"/>
      <c r="F165" s="107"/>
      <c r="G165" s="26">
        <f t="shared" ref="G165:G174" si="99">G164+F165</f>
        <v>-1459</v>
      </c>
      <c r="H165" s="117"/>
      <c r="I165" s="117"/>
      <c r="J165" s="19">
        <f t="shared" ref="J165:J174" si="100">J164+I165</f>
        <v>-1459</v>
      </c>
      <c r="K165" s="106"/>
      <c r="L165" s="107"/>
      <c r="M165" s="26">
        <f t="shared" ref="M165:M174" si="101">M164+L165</f>
        <v>-1459</v>
      </c>
      <c r="N165" s="118"/>
      <c r="O165" s="117"/>
      <c r="P165" s="38">
        <f t="shared" ref="P165:P174" si="102">P164+O165</f>
        <v>-1459</v>
      </c>
      <c r="Q165" s="106"/>
      <c r="R165" s="107"/>
      <c r="S165" s="26">
        <f t="shared" ref="S165:S174" si="103">S164+R165</f>
        <v>-1459</v>
      </c>
      <c r="T165" s="136"/>
      <c r="U165" s="136"/>
      <c r="V165" s="45">
        <f t="shared" ref="V165:V174" si="104">V164+U165</f>
        <v>-1459</v>
      </c>
      <c r="W165" s="143"/>
    </row>
    <row r="166" spans="1:23" ht="15.75" customHeight="1">
      <c r="A166" s="114"/>
      <c r="B166" s="117"/>
      <c r="C166" s="117"/>
      <c r="D166" s="45">
        <f t="shared" si="98"/>
        <v>-1459</v>
      </c>
      <c r="E166" s="106"/>
      <c r="F166" s="107"/>
      <c r="G166" s="26">
        <f t="shared" si="99"/>
        <v>-1459</v>
      </c>
      <c r="H166" s="117"/>
      <c r="I166" s="117"/>
      <c r="J166" s="19">
        <f t="shared" si="100"/>
        <v>-1459</v>
      </c>
      <c r="K166" s="106"/>
      <c r="L166" s="107"/>
      <c r="M166" s="26">
        <f t="shared" si="101"/>
        <v>-1459</v>
      </c>
      <c r="N166" s="118"/>
      <c r="O166" s="117"/>
      <c r="P166" s="38">
        <f t="shared" si="102"/>
        <v>-1459</v>
      </c>
      <c r="Q166" s="106"/>
      <c r="R166" s="107"/>
      <c r="S166" s="26">
        <f t="shared" si="103"/>
        <v>-1459</v>
      </c>
      <c r="T166" s="136"/>
      <c r="U166" s="136"/>
      <c r="V166" s="45">
        <f t="shared" si="104"/>
        <v>-1459</v>
      </c>
      <c r="W166" s="143"/>
    </row>
    <row r="167" spans="1:23" ht="15.75" customHeight="1">
      <c r="A167" s="114"/>
      <c r="B167" s="117"/>
      <c r="C167" s="117"/>
      <c r="D167" s="45">
        <f t="shared" si="98"/>
        <v>-1459</v>
      </c>
      <c r="E167" s="106"/>
      <c r="F167" s="107"/>
      <c r="G167" s="26">
        <f t="shared" si="99"/>
        <v>-1459</v>
      </c>
      <c r="H167" s="117"/>
      <c r="I167" s="117"/>
      <c r="J167" s="19">
        <f t="shared" si="100"/>
        <v>-1459</v>
      </c>
      <c r="K167" s="106"/>
      <c r="L167" s="107"/>
      <c r="M167" s="26">
        <f t="shared" si="101"/>
        <v>-1459</v>
      </c>
      <c r="N167" s="118"/>
      <c r="O167" s="117"/>
      <c r="P167" s="38">
        <f t="shared" si="102"/>
        <v>-1459</v>
      </c>
      <c r="Q167" s="106"/>
      <c r="R167" s="107"/>
      <c r="S167" s="26">
        <f t="shared" si="103"/>
        <v>-1459</v>
      </c>
      <c r="T167" s="136"/>
      <c r="U167" s="136"/>
      <c r="V167" s="45">
        <f t="shared" si="104"/>
        <v>-1459</v>
      </c>
      <c r="W167" s="143"/>
    </row>
    <row r="168" spans="1:23" ht="15.75" customHeight="1">
      <c r="A168" s="114"/>
      <c r="B168" s="117"/>
      <c r="C168" s="117"/>
      <c r="D168" s="45">
        <f t="shared" si="98"/>
        <v>-1459</v>
      </c>
      <c r="E168" s="106"/>
      <c r="F168" s="107"/>
      <c r="G168" s="26">
        <f t="shared" si="99"/>
        <v>-1459</v>
      </c>
      <c r="H168" s="133"/>
      <c r="I168" s="117"/>
      <c r="J168" s="19">
        <f t="shared" si="100"/>
        <v>-1459</v>
      </c>
      <c r="K168" s="106"/>
      <c r="L168" s="107"/>
      <c r="M168" s="26">
        <f t="shared" si="101"/>
        <v>-1459</v>
      </c>
      <c r="N168" s="118"/>
      <c r="O168" s="117"/>
      <c r="P168" s="38">
        <f t="shared" si="102"/>
        <v>-1459</v>
      </c>
      <c r="Q168" s="106"/>
      <c r="R168" s="107"/>
      <c r="S168" s="26">
        <f t="shared" si="103"/>
        <v>-1459</v>
      </c>
      <c r="T168" s="136"/>
      <c r="U168" s="136"/>
      <c r="V168" s="45">
        <f t="shared" si="104"/>
        <v>-1459</v>
      </c>
      <c r="W168" s="143"/>
    </row>
    <row r="169" spans="1:23" ht="15.75" customHeight="1">
      <c r="A169" s="114"/>
      <c r="B169" s="117"/>
      <c r="C169" s="117"/>
      <c r="D169" s="45">
        <f t="shared" si="98"/>
        <v>-1459</v>
      </c>
      <c r="E169" s="106"/>
      <c r="F169" s="107"/>
      <c r="G169" s="26">
        <f t="shared" si="99"/>
        <v>-1459</v>
      </c>
      <c r="H169" s="133"/>
      <c r="I169" s="117"/>
      <c r="J169" s="19">
        <f t="shared" si="100"/>
        <v>-1459</v>
      </c>
      <c r="K169" s="106"/>
      <c r="L169" s="107"/>
      <c r="M169" s="26">
        <f t="shared" si="101"/>
        <v>-1459</v>
      </c>
      <c r="N169" s="118"/>
      <c r="O169" s="117"/>
      <c r="P169" s="38">
        <f t="shared" si="102"/>
        <v>-1459</v>
      </c>
      <c r="Q169" s="106"/>
      <c r="R169" s="107"/>
      <c r="S169" s="26">
        <f t="shared" si="103"/>
        <v>-1459</v>
      </c>
      <c r="T169" s="136"/>
      <c r="U169" s="136"/>
      <c r="V169" s="45">
        <f t="shared" si="104"/>
        <v>-1459</v>
      </c>
      <c r="W169" s="143"/>
    </row>
    <row r="170" spans="1:23" ht="15.75" customHeight="1">
      <c r="A170" s="114"/>
      <c r="B170" s="117"/>
      <c r="C170" s="117"/>
      <c r="D170" s="45">
        <f t="shared" si="98"/>
        <v>-1459</v>
      </c>
      <c r="E170" s="106"/>
      <c r="F170" s="107"/>
      <c r="G170" s="26">
        <f t="shared" si="99"/>
        <v>-1459</v>
      </c>
      <c r="H170" s="133"/>
      <c r="I170" s="117"/>
      <c r="J170" s="19">
        <f t="shared" si="100"/>
        <v>-1459</v>
      </c>
      <c r="K170" s="116"/>
      <c r="L170" s="107"/>
      <c r="M170" s="26">
        <f t="shared" si="101"/>
        <v>-1459</v>
      </c>
      <c r="N170" s="133"/>
      <c r="O170" s="117"/>
      <c r="P170" s="38">
        <f t="shared" si="102"/>
        <v>-1459</v>
      </c>
      <c r="Q170" s="106"/>
      <c r="R170" s="107"/>
      <c r="S170" s="26">
        <f t="shared" si="103"/>
        <v>-1459</v>
      </c>
      <c r="T170" s="136"/>
      <c r="U170" s="136"/>
      <c r="V170" s="45">
        <f t="shared" si="104"/>
        <v>-1459</v>
      </c>
      <c r="W170" s="143"/>
    </row>
    <row r="171" spans="1:23" ht="15.75" customHeight="1">
      <c r="A171" s="114"/>
      <c r="B171" s="117"/>
      <c r="C171" s="117"/>
      <c r="D171" s="45">
        <f t="shared" si="98"/>
        <v>-1459</v>
      </c>
      <c r="E171" s="106"/>
      <c r="F171" s="107"/>
      <c r="G171" s="26">
        <f t="shared" si="99"/>
        <v>-1459</v>
      </c>
      <c r="H171" s="133"/>
      <c r="I171" s="117"/>
      <c r="J171" s="19">
        <f t="shared" si="100"/>
        <v>-1459</v>
      </c>
      <c r="K171" s="116"/>
      <c r="L171" s="107"/>
      <c r="M171" s="26">
        <f t="shared" si="101"/>
        <v>-1459</v>
      </c>
      <c r="N171" s="133"/>
      <c r="O171" s="117"/>
      <c r="P171" s="38">
        <f t="shared" si="102"/>
        <v>-1459</v>
      </c>
      <c r="Q171" s="106"/>
      <c r="R171" s="107"/>
      <c r="S171" s="26">
        <f t="shared" si="103"/>
        <v>-1459</v>
      </c>
      <c r="T171" s="136"/>
      <c r="U171" s="136"/>
      <c r="V171" s="45">
        <f t="shared" si="104"/>
        <v>-1459</v>
      </c>
      <c r="W171" s="143"/>
    </row>
    <row r="172" spans="1:23" ht="15.75" customHeight="1">
      <c r="A172" s="114"/>
      <c r="B172" s="117"/>
      <c r="C172" s="117"/>
      <c r="D172" s="45">
        <f t="shared" si="98"/>
        <v>-1459</v>
      </c>
      <c r="E172" s="106"/>
      <c r="F172" s="107"/>
      <c r="G172" s="26">
        <f t="shared" si="99"/>
        <v>-1459</v>
      </c>
      <c r="H172" s="133"/>
      <c r="I172" s="117"/>
      <c r="J172" s="19">
        <f t="shared" si="100"/>
        <v>-1459</v>
      </c>
      <c r="K172" s="116"/>
      <c r="L172" s="107"/>
      <c r="M172" s="26">
        <f t="shared" si="101"/>
        <v>-1459</v>
      </c>
      <c r="N172" s="117"/>
      <c r="O172" s="117"/>
      <c r="P172" s="38">
        <f t="shared" si="102"/>
        <v>-1459</v>
      </c>
      <c r="Q172" s="106"/>
      <c r="R172" s="107"/>
      <c r="S172" s="26">
        <f t="shared" si="103"/>
        <v>-1459</v>
      </c>
      <c r="T172" s="136"/>
      <c r="U172" s="136"/>
      <c r="V172" s="45">
        <f t="shared" si="104"/>
        <v>-1459</v>
      </c>
      <c r="W172" s="143"/>
    </row>
    <row r="173" spans="1:23" ht="15.75" customHeight="1">
      <c r="A173" s="114"/>
      <c r="B173" s="117"/>
      <c r="C173" s="117"/>
      <c r="D173" s="45">
        <f t="shared" si="98"/>
        <v>-1459</v>
      </c>
      <c r="E173" s="122"/>
      <c r="F173" s="123"/>
      <c r="G173" s="26">
        <f t="shared" si="99"/>
        <v>-1459</v>
      </c>
      <c r="H173" s="133"/>
      <c r="I173" s="117"/>
      <c r="J173" s="19">
        <f t="shared" si="100"/>
        <v>-1459</v>
      </c>
      <c r="K173" s="124"/>
      <c r="L173" s="123"/>
      <c r="M173" s="26">
        <f t="shared" si="101"/>
        <v>-1459</v>
      </c>
      <c r="N173" s="117"/>
      <c r="O173" s="117"/>
      <c r="P173" s="38">
        <f t="shared" si="102"/>
        <v>-1459</v>
      </c>
      <c r="Q173" s="106"/>
      <c r="R173" s="107"/>
      <c r="S173" s="26">
        <f t="shared" si="103"/>
        <v>-1459</v>
      </c>
      <c r="T173" s="136"/>
      <c r="U173" s="136"/>
      <c r="V173" s="45">
        <f t="shared" si="104"/>
        <v>-1459</v>
      </c>
      <c r="W173" s="143"/>
    </row>
    <row r="174" spans="1:23" ht="15.75" customHeight="1">
      <c r="A174" s="114"/>
      <c r="B174" s="128"/>
      <c r="C174" s="128"/>
      <c r="D174" s="46">
        <f t="shared" si="98"/>
        <v>-1459</v>
      </c>
      <c r="E174" s="166"/>
      <c r="F174" s="167"/>
      <c r="G174" s="53">
        <f t="shared" si="99"/>
        <v>-1459</v>
      </c>
      <c r="H174" s="174"/>
      <c r="I174" s="175"/>
      <c r="J174" s="55">
        <f t="shared" si="100"/>
        <v>-1459</v>
      </c>
      <c r="K174" s="124"/>
      <c r="L174" s="123"/>
      <c r="M174" s="39">
        <f t="shared" si="101"/>
        <v>-1459</v>
      </c>
      <c r="N174" s="128"/>
      <c r="O174" s="128"/>
      <c r="P174" s="40">
        <f t="shared" si="102"/>
        <v>-1459</v>
      </c>
      <c r="Q174" s="122"/>
      <c r="R174" s="123"/>
      <c r="S174" s="39">
        <f t="shared" si="103"/>
        <v>-1459</v>
      </c>
      <c r="T174" s="141"/>
      <c r="U174" s="141"/>
      <c r="V174" s="46">
        <f t="shared" si="104"/>
        <v>-1459</v>
      </c>
      <c r="W174" s="143"/>
    </row>
    <row r="175" spans="1:23" ht="15.75" customHeight="1">
      <c r="A175" s="87"/>
      <c r="B175" s="77">
        <f ca="1">IFERROR(__xludf.DUMMYFUNCTION("DATE(VALUE(LEFT($B$2,4)),VALUE(MID($B$2,6,2)),VALUE(RIGHT($B$2,2)))
+ (VALUE(REGEXEXTRACT(INDIRECT(""A""&amp;ROW()+1),""\d+""))-1)*7
+ INT((COLUMN()-COLUMN($B175))/3)
"),46124)</f>
        <v>46124</v>
      </c>
      <c r="C175" s="81"/>
      <c r="D175" s="82"/>
      <c r="E175" s="77">
        <f ca="1">IFERROR(__xludf.DUMMYFUNCTION("DATE(VALUE(LEFT($B$2,4)),VALUE(MID($B$2,6,2)),VALUE(RIGHT($B$2,2)))
+ (VALUE(REGEXEXTRACT(INDIRECT(""A""&amp;ROW()+1),""\d+""))-1)*7
+ INT((COLUMN()-COLUMN($B175))/3)
"),46125)</f>
        <v>46125</v>
      </c>
      <c r="F175" s="81"/>
      <c r="G175" s="82"/>
      <c r="H175" s="77">
        <f ca="1">IFERROR(__xludf.DUMMYFUNCTION("DATE(VALUE(LEFT($B$2,4)),VALUE(MID($B$2,6,2)),VALUE(RIGHT($B$2,2)))
+ (VALUE(REGEXEXTRACT(INDIRECT(""A""&amp;ROW()+1),""\d+""))-1)*7
+ INT((COLUMN()-COLUMN($B175))/3)
"),46126)</f>
        <v>46126</v>
      </c>
      <c r="I175" s="81"/>
      <c r="J175" s="82"/>
      <c r="K175" s="77">
        <f ca="1">IFERROR(__xludf.DUMMYFUNCTION("DATE(VALUE(LEFT($B$2,4)),VALUE(MID($B$2,6,2)),VALUE(RIGHT($B$2,2)))
+ (VALUE(REGEXEXTRACT(INDIRECT(""A""&amp;ROW()+1),""\d+""))-1)*7
+ INT((COLUMN()-COLUMN($B175))/3)
"),46127)</f>
        <v>46127</v>
      </c>
      <c r="L175" s="81"/>
      <c r="M175" s="82"/>
      <c r="N175" s="77">
        <f ca="1">IFERROR(__xludf.DUMMYFUNCTION("DATE(VALUE(LEFT($B$2,4)),VALUE(MID($B$2,6,2)),VALUE(RIGHT($B$2,2)))
+ (VALUE(REGEXEXTRACT(INDIRECT(""A""&amp;ROW()+1),""\d+""))-1)*7
+ INT((COLUMN()-COLUMN($B175))/3)
"),46128)</f>
        <v>46128</v>
      </c>
      <c r="O175" s="81"/>
      <c r="P175" s="82"/>
      <c r="Q175" s="77">
        <f ca="1">IFERROR(__xludf.DUMMYFUNCTION("DATE(VALUE(LEFT($B$2,4)),VALUE(MID($B$2,6,2)),VALUE(RIGHT($B$2,2)))
+ (VALUE(REGEXEXTRACT(INDIRECT(""A""&amp;ROW()+1),""\d+""))-1)*7
+ INT((COLUMN()-COLUMN($B175))/3)
"),46129)</f>
        <v>46129</v>
      </c>
      <c r="R175" s="81"/>
      <c r="S175" s="82"/>
      <c r="T175" s="77">
        <f ca="1">IFERROR(__xludf.DUMMYFUNCTION("DATE(VALUE(LEFT($B$2,4)),VALUE(MID($B$2,6,2)),VALUE(RIGHT($B$2,2)))
+ (VALUE(REGEXEXTRACT(INDIRECT(""A""&amp;ROW()+1),""\d+""))-1)*7
+ INT((COLUMN()-COLUMN($B175))/3)
"),46130)</f>
        <v>46130</v>
      </c>
      <c r="U175" s="81"/>
      <c r="V175" s="82"/>
      <c r="W175" s="143"/>
    </row>
    <row r="176" spans="1:23" ht="15.75" customHeight="1">
      <c r="A176" s="51" t="s">
        <v>151</v>
      </c>
      <c r="B176" s="112"/>
      <c r="C176" s="111"/>
      <c r="D176" s="17">
        <f>V174+C176</f>
        <v>-1459</v>
      </c>
      <c r="E176" s="109"/>
      <c r="F176" s="109"/>
      <c r="G176" s="42">
        <f>D186+F176</f>
        <v>-1459</v>
      </c>
      <c r="H176" s="112"/>
      <c r="I176" s="111"/>
      <c r="J176" s="17">
        <f>G186+I176</f>
        <v>-1459</v>
      </c>
      <c r="K176" s="109"/>
      <c r="L176" s="109"/>
      <c r="M176" s="35">
        <f>J186+L176</f>
        <v>-1459</v>
      </c>
      <c r="N176" s="112"/>
      <c r="O176" s="111"/>
      <c r="P176" s="17">
        <f>M186+O176</f>
        <v>-1459</v>
      </c>
      <c r="Q176" s="109"/>
      <c r="R176" s="109"/>
      <c r="S176" s="35">
        <f>P186+R176</f>
        <v>-1459</v>
      </c>
      <c r="T176" s="112"/>
      <c r="U176" s="111"/>
      <c r="V176" s="48">
        <f>S186+U176</f>
        <v>-1459</v>
      </c>
      <c r="W176" s="143"/>
    </row>
    <row r="177" spans="1:23" ht="15.75" customHeight="1">
      <c r="A177" s="114"/>
      <c r="B177" s="106"/>
      <c r="C177" s="107"/>
      <c r="D177" s="26">
        <f t="shared" ref="D177:D186" si="105">D176+C177</f>
        <v>-1459</v>
      </c>
      <c r="E177" s="117"/>
      <c r="F177" s="117"/>
      <c r="G177" s="19">
        <f t="shared" ref="G177:G186" si="106">G176+F177</f>
        <v>-1459</v>
      </c>
      <c r="H177" s="106"/>
      <c r="I177" s="107"/>
      <c r="J177" s="26">
        <f t="shared" ref="J177:J186" si="107">J176+I177</f>
        <v>-1459</v>
      </c>
      <c r="K177" s="117"/>
      <c r="L177" s="117"/>
      <c r="M177" s="38">
        <f t="shared" ref="M177:M186" si="108">M176+L177</f>
        <v>-1459</v>
      </c>
      <c r="N177" s="106"/>
      <c r="O177" s="107"/>
      <c r="P177" s="26">
        <f t="shared" ref="P177:P186" si="109">P176+O177</f>
        <v>-1459</v>
      </c>
      <c r="Q177" s="117"/>
      <c r="R177" s="117"/>
      <c r="S177" s="38">
        <f t="shared" ref="S177:S186" si="110">S176+R177</f>
        <v>-1459</v>
      </c>
      <c r="T177" s="106"/>
      <c r="U177" s="107"/>
      <c r="V177" s="20">
        <f t="shared" ref="V177:V186" si="111">V176+U177</f>
        <v>-1459</v>
      </c>
      <c r="W177" s="143"/>
    </row>
    <row r="178" spans="1:23" ht="15.75" customHeight="1">
      <c r="A178" s="114"/>
      <c r="B178" s="106"/>
      <c r="C178" s="107"/>
      <c r="D178" s="26">
        <f t="shared" si="105"/>
        <v>-1459</v>
      </c>
      <c r="E178" s="117"/>
      <c r="F178" s="117"/>
      <c r="G178" s="19">
        <f t="shared" si="106"/>
        <v>-1459</v>
      </c>
      <c r="H178" s="106"/>
      <c r="I178" s="107"/>
      <c r="J178" s="26">
        <f t="shared" si="107"/>
        <v>-1459</v>
      </c>
      <c r="K178" s="117"/>
      <c r="L178" s="117"/>
      <c r="M178" s="38">
        <f t="shared" si="108"/>
        <v>-1459</v>
      </c>
      <c r="N178" s="106"/>
      <c r="O178" s="107"/>
      <c r="P178" s="26">
        <f t="shared" si="109"/>
        <v>-1459</v>
      </c>
      <c r="Q178" s="117"/>
      <c r="R178" s="117"/>
      <c r="S178" s="38">
        <f t="shared" si="110"/>
        <v>-1459</v>
      </c>
      <c r="T178" s="106"/>
      <c r="U178" s="107"/>
      <c r="V178" s="20">
        <f t="shared" si="111"/>
        <v>-1459</v>
      </c>
      <c r="W178" s="143"/>
    </row>
    <row r="179" spans="1:23" ht="15.75" customHeight="1">
      <c r="A179" s="114"/>
      <c r="B179" s="106"/>
      <c r="C179" s="107"/>
      <c r="D179" s="26">
        <f t="shared" si="105"/>
        <v>-1459</v>
      </c>
      <c r="E179" s="117"/>
      <c r="F179" s="117"/>
      <c r="G179" s="19">
        <f t="shared" si="106"/>
        <v>-1459</v>
      </c>
      <c r="H179" s="106"/>
      <c r="I179" s="107"/>
      <c r="J179" s="26">
        <f t="shared" si="107"/>
        <v>-1459</v>
      </c>
      <c r="K179" s="117"/>
      <c r="L179" s="117"/>
      <c r="M179" s="38">
        <f t="shared" si="108"/>
        <v>-1459</v>
      </c>
      <c r="N179" s="106"/>
      <c r="O179" s="107"/>
      <c r="P179" s="26">
        <f t="shared" si="109"/>
        <v>-1459</v>
      </c>
      <c r="Q179" s="117"/>
      <c r="R179" s="117"/>
      <c r="S179" s="38">
        <f t="shared" si="110"/>
        <v>-1459</v>
      </c>
      <c r="T179" s="106"/>
      <c r="U179" s="107"/>
      <c r="V179" s="20">
        <f t="shared" si="111"/>
        <v>-1459</v>
      </c>
      <c r="W179" s="143"/>
    </row>
    <row r="180" spans="1:23" ht="15.75" customHeight="1">
      <c r="A180" s="114"/>
      <c r="B180" s="106"/>
      <c r="C180" s="107"/>
      <c r="D180" s="26">
        <f t="shared" si="105"/>
        <v>-1459</v>
      </c>
      <c r="E180" s="117"/>
      <c r="F180" s="117"/>
      <c r="G180" s="19">
        <f t="shared" si="106"/>
        <v>-1459</v>
      </c>
      <c r="H180" s="106"/>
      <c r="I180" s="107"/>
      <c r="J180" s="26">
        <f t="shared" si="107"/>
        <v>-1459</v>
      </c>
      <c r="K180" s="117"/>
      <c r="L180" s="117"/>
      <c r="M180" s="38">
        <f t="shared" si="108"/>
        <v>-1459</v>
      </c>
      <c r="N180" s="106"/>
      <c r="O180" s="107"/>
      <c r="P180" s="26">
        <f t="shared" si="109"/>
        <v>-1459</v>
      </c>
      <c r="Q180" s="117"/>
      <c r="R180" s="117"/>
      <c r="S180" s="38">
        <f t="shared" si="110"/>
        <v>-1459</v>
      </c>
      <c r="T180" s="106"/>
      <c r="U180" s="107"/>
      <c r="V180" s="20">
        <f t="shared" si="111"/>
        <v>-1459</v>
      </c>
      <c r="W180" s="143"/>
    </row>
    <row r="181" spans="1:23" ht="15.75" customHeight="1">
      <c r="A181" s="114"/>
      <c r="B181" s="106"/>
      <c r="C181" s="107"/>
      <c r="D181" s="26">
        <f t="shared" si="105"/>
        <v>-1459</v>
      </c>
      <c r="E181" s="117"/>
      <c r="F181" s="117"/>
      <c r="G181" s="19">
        <f t="shared" si="106"/>
        <v>-1459</v>
      </c>
      <c r="H181" s="106"/>
      <c r="I181" s="107"/>
      <c r="J181" s="26">
        <f t="shared" si="107"/>
        <v>-1459</v>
      </c>
      <c r="K181" s="117"/>
      <c r="L181" s="117"/>
      <c r="M181" s="38">
        <f t="shared" si="108"/>
        <v>-1459</v>
      </c>
      <c r="N181" s="106"/>
      <c r="O181" s="107"/>
      <c r="P181" s="26">
        <f t="shared" si="109"/>
        <v>-1459</v>
      </c>
      <c r="Q181" s="117"/>
      <c r="R181" s="117"/>
      <c r="S181" s="38">
        <f t="shared" si="110"/>
        <v>-1459</v>
      </c>
      <c r="T181" s="106"/>
      <c r="U181" s="107"/>
      <c r="V181" s="20">
        <f t="shared" si="111"/>
        <v>-1459</v>
      </c>
      <c r="W181" s="143"/>
    </row>
    <row r="182" spans="1:23" ht="15.75" customHeight="1">
      <c r="A182" s="114"/>
      <c r="B182" s="106"/>
      <c r="C182" s="107"/>
      <c r="D182" s="26">
        <f t="shared" si="105"/>
        <v>-1459</v>
      </c>
      <c r="E182" s="117"/>
      <c r="F182" s="117"/>
      <c r="G182" s="19">
        <f t="shared" si="106"/>
        <v>-1459</v>
      </c>
      <c r="H182" s="106"/>
      <c r="I182" s="107"/>
      <c r="J182" s="26">
        <f t="shared" si="107"/>
        <v>-1459</v>
      </c>
      <c r="K182" s="117"/>
      <c r="L182" s="117"/>
      <c r="M182" s="38">
        <f t="shared" si="108"/>
        <v>-1459</v>
      </c>
      <c r="N182" s="106"/>
      <c r="O182" s="107"/>
      <c r="P182" s="26">
        <f t="shared" si="109"/>
        <v>-1459</v>
      </c>
      <c r="Q182" s="117"/>
      <c r="R182" s="117"/>
      <c r="S182" s="38">
        <f t="shared" si="110"/>
        <v>-1459</v>
      </c>
      <c r="T182" s="106"/>
      <c r="U182" s="107"/>
      <c r="V182" s="20">
        <f t="shared" si="111"/>
        <v>-1459</v>
      </c>
      <c r="W182" s="143"/>
    </row>
    <row r="183" spans="1:23" ht="15.75" customHeight="1">
      <c r="A183" s="114"/>
      <c r="B183" s="106"/>
      <c r="C183" s="107"/>
      <c r="D183" s="26">
        <f t="shared" si="105"/>
        <v>-1459</v>
      </c>
      <c r="E183" s="117"/>
      <c r="F183" s="117"/>
      <c r="G183" s="19">
        <f t="shared" si="106"/>
        <v>-1459</v>
      </c>
      <c r="H183" s="106"/>
      <c r="I183" s="107"/>
      <c r="J183" s="26">
        <f t="shared" si="107"/>
        <v>-1459</v>
      </c>
      <c r="K183" s="117"/>
      <c r="L183" s="117"/>
      <c r="M183" s="38">
        <f t="shared" si="108"/>
        <v>-1459</v>
      </c>
      <c r="N183" s="106"/>
      <c r="O183" s="107"/>
      <c r="P183" s="26">
        <f t="shared" si="109"/>
        <v>-1459</v>
      </c>
      <c r="Q183" s="117"/>
      <c r="R183" s="117"/>
      <c r="S183" s="38">
        <f t="shared" si="110"/>
        <v>-1459</v>
      </c>
      <c r="T183" s="106"/>
      <c r="U183" s="107"/>
      <c r="V183" s="20">
        <f t="shared" si="111"/>
        <v>-1459</v>
      </c>
      <c r="W183" s="143"/>
    </row>
    <row r="184" spans="1:23" ht="15.75" customHeight="1">
      <c r="A184" s="114"/>
      <c r="B184" s="106"/>
      <c r="C184" s="107"/>
      <c r="D184" s="26">
        <f t="shared" si="105"/>
        <v>-1459</v>
      </c>
      <c r="E184" s="117"/>
      <c r="F184" s="117"/>
      <c r="G184" s="19">
        <f t="shared" si="106"/>
        <v>-1459</v>
      </c>
      <c r="H184" s="122"/>
      <c r="I184" s="123"/>
      <c r="J184" s="26">
        <f t="shared" si="107"/>
        <v>-1459</v>
      </c>
      <c r="K184" s="117"/>
      <c r="L184" s="117"/>
      <c r="M184" s="38">
        <f t="shared" si="108"/>
        <v>-1459</v>
      </c>
      <c r="N184" s="122"/>
      <c r="O184" s="123"/>
      <c r="P184" s="26">
        <f t="shared" si="109"/>
        <v>-1459</v>
      </c>
      <c r="Q184" s="117"/>
      <c r="R184" s="117"/>
      <c r="S184" s="38">
        <f t="shared" si="110"/>
        <v>-1459</v>
      </c>
      <c r="T184" s="106"/>
      <c r="U184" s="107"/>
      <c r="V184" s="20">
        <f t="shared" si="111"/>
        <v>-1459</v>
      </c>
      <c r="W184" s="143"/>
    </row>
    <row r="185" spans="1:23" ht="15.75" customHeight="1">
      <c r="A185" s="114"/>
      <c r="B185" s="106"/>
      <c r="C185" s="107"/>
      <c r="D185" s="26">
        <f t="shared" si="105"/>
        <v>-1459</v>
      </c>
      <c r="E185" s="117"/>
      <c r="F185" s="117"/>
      <c r="G185" s="19">
        <f t="shared" si="106"/>
        <v>-1459</v>
      </c>
      <c r="H185" s="122"/>
      <c r="I185" s="123"/>
      <c r="J185" s="26">
        <f t="shared" si="107"/>
        <v>-1459</v>
      </c>
      <c r="K185" s="117"/>
      <c r="L185" s="117"/>
      <c r="M185" s="38">
        <f t="shared" si="108"/>
        <v>-1459</v>
      </c>
      <c r="N185" s="122"/>
      <c r="O185" s="123"/>
      <c r="P185" s="26">
        <f t="shared" si="109"/>
        <v>-1459</v>
      </c>
      <c r="Q185" s="117"/>
      <c r="R185" s="117"/>
      <c r="S185" s="38">
        <f t="shared" si="110"/>
        <v>-1459</v>
      </c>
      <c r="T185" s="122"/>
      <c r="U185" s="124"/>
      <c r="V185" s="20">
        <f t="shared" si="111"/>
        <v>-1459</v>
      </c>
      <c r="W185" s="143"/>
    </row>
    <row r="186" spans="1:23" ht="15.75" customHeight="1">
      <c r="A186" s="114"/>
      <c r="B186" s="122"/>
      <c r="C186" s="123"/>
      <c r="D186" s="39">
        <f t="shared" si="105"/>
        <v>-1459</v>
      </c>
      <c r="E186" s="128"/>
      <c r="F186" s="128"/>
      <c r="G186" s="29">
        <f t="shared" si="106"/>
        <v>-1459</v>
      </c>
      <c r="H186" s="122"/>
      <c r="I186" s="123"/>
      <c r="J186" s="39">
        <f t="shared" si="107"/>
        <v>-1459</v>
      </c>
      <c r="K186" s="128"/>
      <c r="L186" s="128"/>
      <c r="M186" s="40">
        <f t="shared" si="108"/>
        <v>-1459</v>
      </c>
      <c r="N186" s="122"/>
      <c r="O186" s="123"/>
      <c r="P186" s="39">
        <f t="shared" si="109"/>
        <v>-1459</v>
      </c>
      <c r="Q186" s="128"/>
      <c r="R186" s="128"/>
      <c r="S186" s="40">
        <f t="shared" si="110"/>
        <v>-1459</v>
      </c>
      <c r="T186" s="122"/>
      <c r="U186" s="123"/>
      <c r="V186" s="49">
        <f t="shared" si="111"/>
        <v>-1459</v>
      </c>
      <c r="W186" s="143"/>
    </row>
    <row r="187" spans="1:23" ht="15.75" customHeight="1">
      <c r="A187" s="87"/>
      <c r="B187" s="77">
        <f ca="1">IFERROR(__xludf.DUMMYFUNCTION("DATE(VALUE(LEFT($B$2,4)),VALUE(MID($B$2,6,2)),VALUE(RIGHT($B$2,2)))
+ (VALUE(REGEXEXTRACT(INDIRECT(""A""&amp;ROW()+1),""\d+""))-1)*7
+ INT((COLUMN()-COLUMN($B187))/3)
"),46131)</f>
        <v>46131</v>
      </c>
      <c r="C187" s="81"/>
      <c r="D187" s="82"/>
      <c r="E187" s="77">
        <f ca="1">IFERROR(__xludf.DUMMYFUNCTION("DATE(VALUE(LEFT($B$2,4)),VALUE(MID($B$2,6,2)),VALUE(RIGHT($B$2,2)))
+ (VALUE(REGEXEXTRACT(INDIRECT(""A""&amp;ROW()+1),""\d+""))-1)*7
+ INT((COLUMN()-COLUMN($B187))/3)
"),46132)</f>
        <v>46132</v>
      </c>
      <c r="F187" s="81"/>
      <c r="G187" s="82"/>
      <c r="H187" s="77">
        <f ca="1">IFERROR(__xludf.DUMMYFUNCTION("DATE(VALUE(LEFT($B$2,4)),VALUE(MID($B$2,6,2)),VALUE(RIGHT($B$2,2)))
+ (VALUE(REGEXEXTRACT(INDIRECT(""A""&amp;ROW()+1),""\d+""))-1)*7
+ INT((COLUMN()-COLUMN($B187))/3)
"),46133)</f>
        <v>46133</v>
      </c>
      <c r="I187" s="81"/>
      <c r="J187" s="82"/>
      <c r="K187" s="77">
        <f ca="1">IFERROR(__xludf.DUMMYFUNCTION("DATE(VALUE(LEFT($B$2,4)),VALUE(MID($B$2,6,2)),VALUE(RIGHT($B$2,2)))
+ (VALUE(REGEXEXTRACT(INDIRECT(""A""&amp;ROW()+1),""\d+""))-1)*7
+ INT((COLUMN()-COLUMN($B187))/3)
"),46134)</f>
        <v>46134</v>
      </c>
      <c r="L187" s="81"/>
      <c r="M187" s="82"/>
      <c r="N187" s="77">
        <f ca="1">IFERROR(__xludf.DUMMYFUNCTION("DATE(VALUE(LEFT($B$2,4)),VALUE(MID($B$2,6,2)),VALUE(RIGHT($B$2,2)))
+ (VALUE(REGEXEXTRACT(INDIRECT(""A""&amp;ROW()+1),""\d+""))-1)*7
+ INT((COLUMN()-COLUMN($B187))/3)
"),46135)</f>
        <v>46135</v>
      </c>
      <c r="O187" s="81"/>
      <c r="P187" s="82"/>
      <c r="Q187" s="77">
        <f ca="1">IFERROR(__xludf.DUMMYFUNCTION("DATE(VALUE(LEFT($B$2,4)),VALUE(MID($B$2,6,2)),VALUE(RIGHT($B$2,2)))
+ (VALUE(REGEXEXTRACT(INDIRECT(""A""&amp;ROW()+1),""\d+""))-1)*7
+ INT((COLUMN()-COLUMN($B187))/3)
"),46136)</f>
        <v>46136</v>
      </c>
      <c r="R187" s="81"/>
      <c r="S187" s="82"/>
      <c r="T187" s="77">
        <f ca="1">IFERROR(__xludf.DUMMYFUNCTION("DATE(VALUE(LEFT($B$2,4)),VALUE(MID($B$2,6,2)),VALUE(RIGHT($B$2,2)))
+ (VALUE(REGEXEXTRACT(INDIRECT(""A""&amp;ROW()+1),""\d+""))-1)*7
+ INT((COLUMN()-COLUMN($B187))/3)
"),46137)</f>
        <v>46137</v>
      </c>
      <c r="U187" s="81"/>
      <c r="V187" s="82"/>
      <c r="W187" s="52" t="s">
        <v>20</v>
      </c>
    </row>
    <row r="188" spans="1:23" ht="15.75" customHeight="1">
      <c r="A188" s="47" t="s">
        <v>152</v>
      </c>
      <c r="B188" s="113"/>
      <c r="C188" s="109"/>
      <c r="D188" s="42">
        <f>V186+C188</f>
        <v>-1459</v>
      </c>
      <c r="E188" s="112"/>
      <c r="F188" s="111"/>
      <c r="G188" s="36">
        <f>D198+F188</f>
        <v>-1459</v>
      </c>
      <c r="H188" s="132"/>
      <c r="I188" s="109"/>
      <c r="J188" s="42">
        <f>G198+I188</f>
        <v>-1459</v>
      </c>
      <c r="K188" s="112"/>
      <c r="L188" s="111"/>
      <c r="M188" s="18">
        <f>J198+L188</f>
        <v>-1459</v>
      </c>
      <c r="N188" s="113"/>
      <c r="O188" s="109"/>
      <c r="P188" s="35">
        <f>M198+O188</f>
        <v>-1459</v>
      </c>
      <c r="Q188" s="112"/>
      <c r="R188" s="111"/>
      <c r="S188" s="18">
        <f>P198+R188</f>
        <v>-1459</v>
      </c>
      <c r="T188" s="113"/>
      <c r="U188" s="109"/>
      <c r="V188" s="50">
        <f>S198+U188</f>
        <v>-1459</v>
      </c>
      <c r="W188" s="172"/>
    </row>
    <row r="189" spans="1:23" ht="15.75" customHeight="1">
      <c r="A189" s="114"/>
      <c r="B189" s="118"/>
      <c r="C189" s="117"/>
      <c r="D189" s="19">
        <f t="shared" ref="D189:D198" si="112">D188+C189</f>
        <v>-1459</v>
      </c>
      <c r="E189" s="106"/>
      <c r="F189" s="107"/>
      <c r="G189" s="26">
        <f t="shared" ref="G189:G198" si="113">G188+F189</f>
        <v>-1459</v>
      </c>
      <c r="H189" s="133"/>
      <c r="I189" s="117"/>
      <c r="J189" s="19">
        <f t="shared" ref="J189:J198" si="114">J188+I189</f>
        <v>-1459</v>
      </c>
      <c r="K189" s="106"/>
      <c r="L189" s="107"/>
      <c r="M189" s="26">
        <f t="shared" ref="M189:M198" si="115">M188+L189</f>
        <v>-1459</v>
      </c>
      <c r="N189" s="117"/>
      <c r="O189" s="117"/>
      <c r="P189" s="38">
        <f t="shared" ref="P189:P198" si="116">P188+O189</f>
        <v>-1459</v>
      </c>
      <c r="Q189" s="106"/>
      <c r="R189" s="107"/>
      <c r="S189" s="26">
        <f t="shared" ref="S189:S198" si="117">S188+R189</f>
        <v>-1459</v>
      </c>
      <c r="T189" s="136"/>
      <c r="U189" s="136"/>
      <c r="V189" s="45">
        <f t="shared" ref="V189:V198" si="118">V188+U189</f>
        <v>-1459</v>
      </c>
      <c r="W189" s="143"/>
    </row>
    <row r="190" spans="1:23" ht="15.75" customHeight="1">
      <c r="A190" s="114"/>
      <c r="B190" s="118"/>
      <c r="C190" s="117"/>
      <c r="D190" s="19">
        <f t="shared" si="112"/>
        <v>-1459</v>
      </c>
      <c r="E190" s="106"/>
      <c r="F190" s="107"/>
      <c r="G190" s="26">
        <f t="shared" si="113"/>
        <v>-1459</v>
      </c>
      <c r="H190" s="133"/>
      <c r="I190" s="117"/>
      <c r="J190" s="19">
        <f t="shared" si="114"/>
        <v>-1459</v>
      </c>
      <c r="K190" s="106"/>
      <c r="L190" s="107"/>
      <c r="M190" s="26">
        <f t="shared" si="115"/>
        <v>-1459</v>
      </c>
      <c r="N190" s="117"/>
      <c r="O190" s="117"/>
      <c r="P190" s="38">
        <f t="shared" si="116"/>
        <v>-1459</v>
      </c>
      <c r="Q190" s="106"/>
      <c r="R190" s="107"/>
      <c r="S190" s="26">
        <f t="shared" si="117"/>
        <v>-1459</v>
      </c>
      <c r="T190" s="136"/>
      <c r="U190" s="136"/>
      <c r="V190" s="45">
        <f t="shared" si="118"/>
        <v>-1459</v>
      </c>
      <c r="W190" s="143"/>
    </row>
    <row r="191" spans="1:23" ht="15.75" customHeight="1">
      <c r="A191" s="114"/>
      <c r="B191" s="118"/>
      <c r="C191" s="117"/>
      <c r="D191" s="19">
        <f t="shared" si="112"/>
        <v>-1459</v>
      </c>
      <c r="E191" s="106"/>
      <c r="F191" s="107"/>
      <c r="G191" s="26">
        <f t="shared" si="113"/>
        <v>-1459</v>
      </c>
      <c r="H191" s="133"/>
      <c r="I191" s="117"/>
      <c r="J191" s="19">
        <f t="shared" si="114"/>
        <v>-1459</v>
      </c>
      <c r="K191" s="106"/>
      <c r="L191" s="107"/>
      <c r="M191" s="26">
        <f t="shared" si="115"/>
        <v>-1459</v>
      </c>
      <c r="N191" s="117"/>
      <c r="O191" s="117"/>
      <c r="P191" s="38">
        <f t="shared" si="116"/>
        <v>-1459</v>
      </c>
      <c r="Q191" s="106"/>
      <c r="R191" s="107"/>
      <c r="S191" s="26">
        <f t="shared" si="117"/>
        <v>-1459</v>
      </c>
      <c r="T191" s="136"/>
      <c r="U191" s="136"/>
      <c r="V191" s="45">
        <f t="shared" si="118"/>
        <v>-1459</v>
      </c>
      <c r="W191" s="143"/>
    </row>
    <row r="192" spans="1:23" ht="15.75" customHeight="1">
      <c r="A192" s="114"/>
      <c r="B192" s="118"/>
      <c r="C192" s="117"/>
      <c r="D192" s="19">
        <f t="shared" si="112"/>
        <v>-1459</v>
      </c>
      <c r="E192" s="106"/>
      <c r="F192" s="107"/>
      <c r="G192" s="26">
        <f t="shared" si="113"/>
        <v>-1459</v>
      </c>
      <c r="H192" s="133"/>
      <c r="I192" s="117"/>
      <c r="J192" s="19">
        <f t="shared" si="114"/>
        <v>-1459</v>
      </c>
      <c r="K192" s="106"/>
      <c r="L192" s="107"/>
      <c r="M192" s="26">
        <f t="shared" si="115"/>
        <v>-1459</v>
      </c>
      <c r="N192" s="117"/>
      <c r="O192" s="117"/>
      <c r="P192" s="38">
        <f t="shared" si="116"/>
        <v>-1459</v>
      </c>
      <c r="Q192" s="106"/>
      <c r="R192" s="107"/>
      <c r="S192" s="26">
        <f t="shared" si="117"/>
        <v>-1459</v>
      </c>
      <c r="T192" s="136"/>
      <c r="U192" s="136"/>
      <c r="V192" s="45">
        <f t="shared" si="118"/>
        <v>-1459</v>
      </c>
      <c r="W192" s="143"/>
    </row>
    <row r="193" spans="1:23" ht="15.75" customHeight="1">
      <c r="A193" s="114"/>
      <c r="B193" s="118"/>
      <c r="C193" s="117"/>
      <c r="D193" s="19">
        <f t="shared" si="112"/>
        <v>-1459</v>
      </c>
      <c r="E193" s="106"/>
      <c r="F193" s="107"/>
      <c r="G193" s="26">
        <f t="shared" si="113"/>
        <v>-1459</v>
      </c>
      <c r="H193" s="133"/>
      <c r="I193" s="117"/>
      <c r="J193" s="19">
        <f t="shared" si="114"/>
        <v>-1459</v>
      </c>
      <c r="K193" s="106"/>
      <c r="L193" s="107"/>
      <c r="M193" s="26">
        <f t="shared" si="115"/>
        <v>-1459</v>
      </c>
      <c r="N193" s="118"/>
      <c r="O193" s="117"/>
      <c r="P193" s="38">
        <f t="shared" si="116"/>
        <v>-1459</v>
      </c>
      <c r="Q193" s="106"/>
      <c r="R193" s="107"/>
      <c r="S193" s="26">
        <f t="shared" si="117"/>
        <v>-1459</v>
      </c>
      <c r="T193" s="136"/>
      <c r="U193" s="136"/>
      <c r="V193" s="45">
        <f t="shared" si="118"/>
        <v>-1459</v>
      </c>
      <c r="W193" s="143"/>
    </row>
    <row r="194" spans="1:23" ht="15.75" customHeight="1">
      <c r="A194" s="114"/>
      <c r="B194" s="117"/>
      <c r="C194" s="117"/>
      <c r="D194" s="19">
        <f t="shared" si="112"/>
        <v>-1459</v>
      </c>
      <c r="E194" s="106"/>
      <c r="F194" s="107"/>
      <c r="G194" s="26">
        <f t="shared" si="113"/>
        <v>-1459</v>
      </c>
      <c r="H194" s="133"/>
      <c r="I194" s="117"/>
      <c r="J194" s="19">
        <f t="shared" si="114"/>
        <v>-1459</v>
      </c>
      <c r="K194" s="106"/>
      <c r="L194" s="107"/>
      <c r="M194" s="26">
        <f t="shared" si="115"/>
        <v>-1459</v>
      </c>
      <c r="N194" s="117"/>
      <c r="O194" s="117"/>
      <c r="P194" s="38">
        <f t="shared" si="116"/>
        <v>-1459</v>
      </c>
      <c r="Q194" s="106"/>
      <c r="R194" s="107"/>
      <c r="S194" s="26">
        <f t="shared" si="117"/>
        <v>-1459</v>
      </c>
      <c r="T194" s="136"/>
      <c r="U194" s="136"/>
      <c r="V194" s="45">
        <f t="shared" si="118"/>
        <v>-1459</v>
      </c>
      <c r="W194" s="143"/>
    </row>
    <row r="195" spans="1:23" ht="15.75" customHeight="1">
      <c r="A195" s="114"/>
      <c r="B195" s="117"/>
      <c r="C195" s="117"/>
      <c r="D195" s="19">
        <f t="shared" si="112"/>
        <v>-1459</v>
      </c>
      <c r="E195" s="106"/>
      <c r="F195" s="107"/>
      <c r="G195" s="26">
        <f t="shared" si="113"/>
        <v>-1459</v>
      </c>
      <c r="H195" s="133"/>
      <c r="I195" s="117"/>
      <c r="J195" s="19">
        <f t="shared" si="114"/>
        <v>-1459</v>
      </c>
      <c r="K195" s="106"/>
      <c r="L195" s="107"/>
      <c r="M195" s="26">
        <f t="shared" si="115"/>
        <v>-1459</v>
      </c>
      <c r="N195" s="117"/>
      <c r="O195" s="117"/>
      <c r="P195" s="38">
        <f t="shared" si="116"/>
        <v>-1459</v>
      </c>
      <c r="Q195" s="106"/>
      <c r="R195" s="107"/>
      <c r="S195" s="26">
        <f t="shared" si="117"/>
        <v>-1459</v>
      </c>
      <c r="T195" s="136"/>
      <c r="U195" s="136"/>
      <c r="V195" s="45">
        <f t="shared" si="118"/>
        <v>-1459</v>
      </c>
      <c r="W195" s="143"/>
    </row>
    <row r="196" spans="1:23" ht="15.75" customHeight="1">
      <c r="A196" s="114"/>
      <c r="B196" s="117"/>
      <c r="C196" s="117"/>
      <c r="D196" s="19">
        <f t="shared" si="112"/>
        <v>-1459</v>
      </c>
      <c r="E196" s="106"/>
      <c r="F196" s="107"/>
      <c r="G196" s="26">
        <f t="shared" si="113"/>
        <v>-1459</v>
      </c>
      <c r="H196" s="133"/>
      <c r="I196" s="117"/>
      <c r="J196" s="19">
        <f t="shared" si="114"/>
        <v>-1459</v>
      </c>
      <c r="K196" s="106"/>
      <c r="L196" s="107"/>
      <c r="M196" s="26">
        <f t="shared" si="115"/>
        <v>-1459</v>
      </c>
      <c r="N196" s="117"/>
      <c r="O196" s="117"/>
      <c r="P196" s="38">
        <f t="shared" si="116"/>
        <v>-1459</v>
      </c>
      <c r="Q196" s="106"/>
      <c r="R196" s="107"/>
      <c r="S196" s="26">
        <f t="shared" si="117"/>
        <v>-1459</v>
      </c>
      <c r="T196" s="136"/>
      <c r="U196" s="136"/>
      <c r="V196" s="45">
        <f t="shared" si="118"/>
        <v>-1459</v>
      </c>
      <c r="W196" s="143"/>
    </row>
    <row r="197" spans="1:23" ht="15.75" customHeight="1">
      <c r="A197" s="114"/>
      <c r="B197" s="117"/>
      <c r="C197" s="117"/>
      <c r="D197" s="19">
        <f t="shared" si="112"/>
        <v>-1459</v>
      </c>
      <c r="E197" s="122"/>
      <c r="F197" s="123"/>
      <c r="G197" s="26">
        <f t="shared" si="113"/>
        <v>-1459</v>
      </c>
      <c r="H197" s="133"/>
      <c r="I197" s="117"/>
      <c r="J197" s="19">
        <f t="shared" si="114"/>
        <v>-1459</v>
      </c>
      <c r="K197" s="122"/>
      <c r="L197" s="123"/>
      <c r="M197" s="26">
        <f t="shared" si="115"/>
        <v>-1459</v>
      </c>
      <c r="N197" s="117"/>
      <c r="O197" s="117"/>
      <c r="P197" s="38">
        <f t="shared" si="116"/>
        <v>-1459</v>
      </c>
      <c r="Q197" s="122"/>
      <c r="R197" s="123"/>
      <c r="S197" s="26">
        <f t="shared" si="117"/>
        <v>-1459</v>
      </c>
      <c r="T197" s="136"/>
      <c r="U197" s="136"/>
      <c r="V197" s="45">
        <f t="shared" si="118"/>
        <v>-1459</v>
      </c>
      <c r="W197" s="143"/>
    </row>
    <row r="198" spans="1:23" ht="15.75" customHeight="1">
      <c r="A198" s="114"/>
      <c r="B198" s="128"/>
      <c r="C198" s="128"/>
      <c r="D198" s="29">
        <f t="shared" si="112"/>
        <v>-1459</v>
      </c>
      <c r="E198" s="122"/>
      <c r="F198" s="123"/>
      <c r="G198" s="39">
        <f t="shared" si="113"/>
        <v>-1459</v>
      </c>
      <c r="H198" s="140"/>
      <c r="I198" s="128"/>
      <c r="J198" s="29">
        <f t="shared" si="114"/>
        <v>-1459</v>
      </c>
      <c r="K198" s="122"/>
      <c r="L198" s="123"/>
      <c r="M198" s="39">
        <f t="shared" si="115"/>
        <v>-1459</v>
      </c>
      <c r="N198" s="128"/>
      <c r="O198" s="128"/>
      <c r="P198" s="40">
        <f t="shared" si="116"/>
        <v>-1459</v>
      </c>
      <c r="Q198" s="122"/>
      <c r="R198" s="123"/>
      <c r="S198" s="39">
        <f t="shared" si="117"/>
        <v>-1459</v>
      </c>
      <c r="T198" s="141"/>
      <c r="U198" s="141"/>
      <c r="V198" s="46">
        <f t="shared" si="118"/>
        <v>-1459</v>
      </c>
      <c r="W198" s="143"/>
    </row>
    <row r="199" spans="1:23" ht="15.75" customHeight="1">
      <c r="A199" s="87"/>
      <c r="B199" s="77">
        <f ca="1">IFERROR(__xludf.DUMMYFUNCTION("DATE(VALUE(LEFT($B$2,4)),VALUE(MID($B$2,6,2)),VALUE(RIGHT($B$2,2)))
+ (VALUE(REGEXEXTRACT(INDIRECT(""A""&amp;ROW()+1),""\d+""))-1)*7
+ INT((COLUMN()-COLUMN($B199))/3)
"),46138)</f>
        <v>46138</v>
      </c>
      <c r="C199" s="81"/>
      <c r="D199" s="82"/>
      <c r="E199" s="77">
        <f ca="1">IFERROR(__xludf.DUMMYFUNCTION("DATE(VALUE(LEFT($B$2,4)),VALUE(MID($B$2,6,2)),VALUE(RIGHT($B$2,2)))
+ (VALUE(REGEXEXTRACT(INDIRECT(""A""&amp;ROW()+1),""\d+""))-1)*7
+ INT((COLUMN()-COLUMN($B199))/3)
"),46139)</f>
        <v>46139</v>
      </c>
      <c r="F199" s="81"/>
      <c r="G199" s="82"/>
      <c r="H199" s="77">
        <f ca="1">IFERROR(__xludf.DUMMYFUNCTION("DATE(VALUE(LEFT($B$2,4)),VALUE(MID($B$2,6,2)),VALUE(RIGHT($B$2,2)))
+ (VALUE(REGEXEXTRACT(INDIRECT(""A""&amp;ROW()+1),""\d+""))-1)*7
+ INT((COLUMN()-COLUMN($B199))/3)
"),46140)</f>
        <v>46140</v>
      </c>
      <c r="I199" s="81"/>
      <c r="J199" s="82"/>
      <c r="K199" s="77">
        <f ca="1">IFERROR(__xludf.DUMMYFUNCTION("DATE(VALUE(LEFT($B$2,4)),VALUE(MID($B$2,6,2)),VALUE(RIGHT($B$2,2)))
+ (VALUE(REGEXEXTRACT(INDIRECT(""A""&amp;ROW()+1),""\d+""))-1)*7
+ INT((COLUMN()-COLUMN($B199))/3)
"),46141)</f>
        <v>46141</v>
      </c>
      <c r="L199" s="81"/>
      <c r="M199" s="82"/>
      <c r="N199" s="77">
        <f ca="1">IFERROR(__xludf.DUMMYFUNCTION("DATE(VALUE(LEFT($B$2,4)),VALUE(MID($B$2,6,2)),VALUE(RIGHT($B$2,2)))
+ (VALUE(REGEXEXTRACT(INDIRECT(""A""&amp;ROW()+1),""\d+""))-1)*7
+ INT((COLUMN()-COLUMN($B199))/3)
"),46142)</f>
        <v>46142</v>
      </c>
      <c r="O199" s="81"/>
      <c r="P199" s="82"/>
      <c r="Q199" s="77">
        <f ca="1">IFERROR(__xludf.DUMMYFUNCTION("DATE(VALUE(LEFT($B$2,4)),VALUE(MID($B$2,6,2)),VALUE(RIGHT($B$2,2)))
+ (VALUE(REGEXEXTRACT(INDIRECT(""A""&amp;ROW()+1),""\d+""))-1)*7
+ INT((COLUMN()-COLUMN($B199))/3)
"),46143)</f>
        <v>46143</v>
      </c>
      <c r="R199" s="81"/>
      <c r="S199" s="82"/>
      <c r="T199" s="77">
        <f ca="1">IFERROR(__xludf.DUMMYFUNCTION("DATE(VALUE(LEFT($B$2,4)),VALUE(MID($B$2,6,2)),VALUE(RIGHT($B$2,2)))
+ (VALUE(REGEXEXTRACT(INDIRECT(""A""&amp;ROW()+1),""\d+""))-1)*7
+ INT((COLUMN()-COLUMN($B199))/3)
"),46144)</f>
        <v>46144</v>
      </c>
      <c r="U199" s="81"/>
      <c r="V199" s="82"/>
      <c r="W199" s="143"/>
    </row>
    <row r="200" spans="1:23" ht="15.75" customHeight="1">
      <c r="A200" s="51" t="s">
        <v>29</v>
      </c>
      <c r="B200" s="112"/>
      <c r="C200" s="111"/>
      <c r="D200" s="17">
        <f>V198+C200</f>
        <v>-1459</v>
      </c>
      <c r="E200" s="109"/>
      <c r="F200" s="109"/>
      <c r="G200" s="54">
        <f>D210+F200</f>
        <v>-1459</v>
      </c>
      <c r="H200" s="110"/>
      <c r="I200" s="111"/>
      <c r="J200" s="17">
        <f>G210+I200</f>
        <v>-1459</v>
      </c>
      <c r="K200" s="109"/>
      <c r="L200" s="109"/>
      <c r="M200" s="35">
        <f>J210+L200</f>
        <v>-1459</v>
      </c>
      <c r="N200" s="112"/>
      <c r="O200" s="111"/>
      <c r="P200" s="17">
        <f>M210+O200</f>
        <v>-1459</v>
      </c>
      <c r="Q200" s="113"/>
      <c r="R200" s="109"/>
      <c r="S200" s="35">
        <f>P210+R200</f>
        <v>-1459</v>
      </c>
      <c r="T200" s="112"/>
      <c r="U200" s="111"/>
      <c r="V200" s="48">
        <f>S210+U200</f>
        <v>-1459</v>
      </c>
      <c r="W200" s="143"/>
    </row>
    <row r="201" spans="1:23" ht="15.75" customHeight="1">
      <c r="A201" s="114"/>
      <c r="B201" s="106"/>
      <c r="C201" s="107"/>
      <c r="D201" s="26">
        <f t="shared" ref="D201:D210" si="119">D200+C201</f>
        <v>-1459</v>
      </c>
      <c r="E201" s="117"/>
      <c r="F201" s="117"/>
      <c r="G201" s="19">
        <f t="shared" ref="G201:G210" si="120">G200+F201</f>
        <v>-1459</v>
      </c>
      <c r="H201" s="116"/>
      <c r="I201" s="107"/>
      <c r="J201" s="26">
        <f t="shared" ref="J201:J210" si="121">J200+I201</f>
        <v>-1459</v>
      </c>
      <c r="K201" s="117"/>
      <c r="L201" s="117"/>
      <c r="M201" s="38">
        <f t="shared" ref="M201:M210" si="122">M200+L201</f>
        <v>-1459</v>
      </c>
      <c r="N201" s="106"/>
      <c r="O201" s="107"/>
      <c r="P201" s="26">
        <f t="shared" ref="P201:P210" si="123">P200+O201</f>
        <v>-1459</v>
      </c>
      <c r="Q201" s="118"/>
      <c r="R201" s="117"/>
      <c r="S201" s="38">
        <f t="shared" ref="S201:S210" si="124">S200+R201</f>
        <v>-1459</v>
      </c>
      <c r="T201" s="106"/>
      <c r="U201" s="107"/>
      <c r="V201" s="20">
        <f t="shared" ref="V201:V210" si="125">V200+U201</f>
        <v>-1459</v>
      </c>
      <c r="W201" s="143"/>
    </row>
    <row r="202" spans="1:23" ht="15.75" customHeight="1">
      <c r="A202" s="114"/>
      <c r="B202" s="106"/>
      <c r="C202" s="107"/>
      <c r="D202" s="26">
        <f t="shared" si="119"/>
        <v>-1459</v>
      </c>
      <c r="E202" s="117"/>
      <c r="F202" s="117"/>
      <c r="G202" s="19">
        <f t="shared" si="120"/>
        <v>-1459</v>
      </c>
      <c r="H202" s="106"/>
      <c r="I202" s="107"/>
      <c r="J202" s="26">
        <f t="shared" si="121"/>
        <v>-1459</v>
      </c>
      <c r="K202" s="117"/>
      <c r="L202" s="117"/>
      <c r="M202" s="38">
        <f t="shared" si="122"/>
        <v>-1459</v>
      </c>
      <c r="N202" s="106"/>
      <c r="O202" s="107"/>
      <c r="P202" s="26">
        <f t="shared" si="123"/>
        <v>-1459</v>
      </c>
      <c r="Q202" s="118"/>
      <c r="R202" s="117"/>
      <c r="S202" s="38">
        <f t="shared" si="124"/>
        <v>-1459</v>
      </c>
      <c r="T202" s="106"/>
      <c r="U202" s="107"/>
      <c r="V202" s="20">
        <f t="shared" si="125"/>
        <v>-1459</v>
      </c>
      <c r="W202" s="143"/>
    </row>
    <row r="203" spans="1:23" ht="15.75" customHeight="1">
      <c r="A203" s="114"/>
      <c r="B203" s="106"/>
      <c r="C203" s="107"/>
      <c r="D203" s="26">
        <f t="shared" si="119"/>
        <v>-1459</v>
      </c>
      <c r="E203" s="117"/>
      <c r="F203" s="117"/>
      <c r="G203" s="19">
        <f t="shared" si="120"/>
        <v>-1459</v>
      </c>
      <c r="H203" s="106"/>
      <c r="I203" s="107"/>
      <c r="J203" s="26">
        <f t="shared" si="121"/>
        <v>-1459</v>
      </c>
      <c r="K203" s="117"/>
      <c r="L203" s="117"/>
      <c r="M203" s="38">
        <f t="shared" si="122"/>
        <v>-1459</v>
      </c>
      <c r="N203" s="106"/>
      <c r="O203" s="107"/>
      <c r="P203" s="26">
        <f t="shared" si="123"/>
        <v>-1459</v>
      </c>
      <c r="Q203" s="118"/>
      <c r="R203" s="117"/>
      <c r="S203" s="38">
        <f t="shared" si="124"/>
        <v>-1459</v>
      </c>
      <c r="T203" s="106"/>
      <c r="U203" s="107"/>
      <c r="V203" s="20">
        <f t="shared" si="125"/>
        <v>-1459</v>
      </c>
      <c r="W203" s="143"/>
    </row>
    <row r="204" spans="1:23" ht="15.75" customHeight="1">
      <c r="A204" s="114"/>
      <c r="B204" s="106"/>
      <c r="C204" s="107"/>
      <c r="D204" s="26">
        <f t="shared" si="119"/>
        <v>-1459</v>
      </c>
      <c r="E204" s="117"/>
      <c r="F204" s="117"/>
      <c r="G204" s="19">
        <f t="shared" si="120"/>
        <v>-1459</v>
      </c>
      <c r="H204" s="106"/>
      <c r="I204" s="107"/>
      <c r="J204" s="26">
        <f t="shared" si="121"/>
        <v>-1459</v>
      </c>
      <c r="K204" s="117"/>
      <c r="L204" s="117"/>
      <c r="M204" s="38">
        <f t="shared" si="122"/>
        <v>-1459</v>
      </c>
      <c r="N204" s="106"/>
      <c r="O204" s="107"/>
      <c r="P204" s="26">
        <f t="shared" si="123"/>
        <v>-1459</v>
      </c>
      <c r="Q204" s="118"/>
      <c r="R204" s="117"/>
      <c r="S204" s="38">
        <f t="shared" si="124"/>
        <v>-1459</v>
      </c>
      <c r="T204" s="106"/>
      <c r="U204" s="107"/>
      <c r="V204" s="20">
        <f t="shared" si="125"/>
        <v>-1459</v>
      </c>
      <c r="W204" s="143"/>
    </row>
    <row r="205" spans="1:23" ht="15.75" customHeight="1">
      <c r="A205" s="114"/>
      <c r="B205" s="106"/>
      <c r="C205" s="107"/>
      <c r="D205" s="26">
        <f t="shared" si="119"/>
        <v>-1459</v>
      </c>
      <c r="E205" s="117"/>
      <c r="F205" s="117"/>
      <c r="G205" s="19">
        <f t="shared" si="120"/>
        <v>-1459</v>
      </c>
      <c r="H205" s="106"/>
      <c r="I205" s="107"/>
      <c r="J205" s="26">
        <f t="shared" si="121"/>
        <v>-1459</v>
      </c>
      <c r="K205" s="117"/>
      <c r="L205" s="117"/>
      <c r="M205" s="38">
        <f t="shared" si="122"/>
        <v>-1459</v>
      </c>
      <c r="N205" s="106"/>
      <c r="O205" s="107"/>
      <c r="P205" s="26">
        <f t="shared" si="123"/>
        <v>-1459</v>
      </c>
      <c r="Q205" s="118"/>
      <c r="R205" s="117"/>
      <c r="S205" s="38">
        <f t="shared" si="124"/>
        <v>-1459</v>
      </c>
      <c r="T205" s="106"/>
      <c r="U205" s="116"/>
      <c r="V205" s="20">
        <f t="shared" si="125"/>
        <v>-1459</v>
      </c>
      <c r="W205" s="143"/>
    </row>
    <row r="206" spans="1:23" ht="15.75" customHeight="1">
      <c r="A206" s="114"/>
      <c r="B206" s="106"/>
      <c r="C206" s="107"/>
      <c r="D206" s="26">
        <f t="shared" si="119"/>
        <v>-1459</v>
      </c>
      <c r="E206" s="117"/>
      <c r="F206" s="117"/>
      <c r="G206" s="19">
        <f t="shared" si="120"/>
        <v>-1459</v>
      </c>
      <c r="H206" s="106"/>
      <c r="I206" s="107"/>
      <c r="J206" s="26">
        <f t="shared" si="121"/>
        <v>-1459</v>
      </c>
      <c r="K206" s="117"/>
      <c r="L206" s="117"/>
      <c r="M206" s="38">
        <f t="shared" si="122"/>
        <v>-1459</v>
      </c>
      <c r="N206" s="106"/>
      <c r="O206" s="107"/>
      <c r="P206" s="26">
        <f t="shared" si="123"/>
        <v>-1459</v>
      </c>
      <c r="Q206" s="117"/>
      <c r="R206" s="117"/>
      <c r="S206" s="38">
        <f t="shared" si="124"/>
        <v>-1459</v>
      </c>
      <c r="T206" s="106"/>
      <c r="U206" s="116"/>
      <c r="V206" s="20">
        <f t="shared" si="125"/>
        <v>-1459</v>
      </c>
      <c r="W206" s="143"/>
    </row>
    <row r="207" spans="1:23" ht="15.75" customHeight="1">
      <c r="A207" s="114"/>
      <c r="B207" s="106"/>
      <c r="C207" s="107"/>
      <c r="D207" s="26">
        <f t="shared" si="119"/>
        <v>-1459</v>
      </c>
      <c r="E207" s="117"/>
      <c r="F207" s="117"/>
      <c r="G207" s="19">
        <f t="shared" si="120"/>
        <v>-1459</v>
      </c>
      <c r="H207" s="106"/>
      <c r="I207" s="107"/>
      <c r="J207" s="26">
        <f t="shared" si="121"/>
        <v>-1459</v>
      </c>
      <c r="K207" s="117"/>
      <c r="L207" s="117"/>
      <c r="M207" s="38">
        <f t="shared" si="122"/>
        <v>-1459</v>
      </c>
      <c r="N207" s="106"/>
      <c r="O207" s="107"/>
      <c r="P207" s="26">
        <f t="shared" si="123"/>
        <v>-1459</v>
      </c>
      <c r="Q207" s="118"/>
      <c r="R207" s="117"/>
      <c r="S207" s="38">
        <f t="shared" si="124"/>
        <v>-1459</v>
      </c>
      <c r="T207" s="106"/>
      <c r="U207" s="116"/>
      <c r="V207" s="20">
        <f t="shared" si="125"/>
        <v>-1459</v>
      </c>
      <c r="W207" s="143"/>
    </row>
    <row r="208" spans="1:23" ht="15.75" customHeight="1">
      <c r="A208" s="114"/>
      <c r="B208" s="122"/>
      <c r="C208" s="123"/>
      <c r="D208" s="26">
        <f t="shared" si="119"/>
        <v>-1459</v>
      </c>
      <c r="E208" s="117"/>
      <c r="F208" s="117"/>
      <c r="G208" s="19">
        <f t="shared" si="120"/>
        <v>-1459</v>
      </c>
      <c r="H208" s="122"/>
      <c r="I208" s="123"/>
      <c r="J208" s="26">
        <f t="shared" si="121"/>
        <v>-1459</v>
      </c>
      <c r="K208" s="117"/>
      <c r="L208" s="117"/>
      <c r="M208" s="38">
        <f t="shared" si="122"/>
        <v>-1459</v>
      </c>
      <c r="N208" s="106"/>
      <c r="O208" s="107"/>
      <c r="P208" s="26">
        <f t="shared" si="123"/>
        <v>-1459</v>
      </c>
      <c r="Q208" s="118"/>
      <c r="R208" s="117"/>
      <c r="S208" s="38">
        <f t="shared" si="124"/>
        <v>-1459</v>
      </c>
      <c r="T208" s="106"/>
      <c r="U208" s="116"/>
      <c r="V208" s="20">
        <f t="shared" si="125"/>
        <v>-1459</v>
      </c>
      <c r="W208" s="143"/>
    </row>
    <row r="209" spans="1:23" ht="15.75" customHeight="1">
      <c r="A209" s="114"/>
      <c r="B209" s="122"/>
      <c r="C209" s="123"/>
      <c r="D209" s="26">
        <f t="shared" si="119"/>
        <v>-1459</v>
      </c>
      <c r="E209" s="117"/>
      <c r="F209" s="117"/>
      <c r="G209" s="19">
        <f t="shared" si="120"/>
        <v>-1459</v>
      </c>
      <c r="H209" s="122"/>
      <c r="I209" s="123"/>
      <c r="J209" s="26">
        <f t="shared" si="121"/>
        <v>-1459</v>
      </c>
      <c r="K209" s="117"/>
      <c r="L209" s="117"/>
      <c r="M209" s="38">
        <f t="shared" si="122"/>
        <v>-1459</v>
      </c>
      <c r="N209" s="122"/>
      <c r="O209" s="123"/>
      <c r="P209" s="26">
        <f t="shared" si="123"/>
        <v>-1459</v>
      </c>
      <c r="Q209" s="117"/>
      <c r="R209" s="117"/>
      <c r="S209" s="38">
        <f t="shared" si="124"/>
        <v>-1459</v>
      </c>
      <c r="T209" s="122"/>
      <c r="U209" s="124"/>
      <c r="V209" s="20">
        <f t="shared" si="125"/>
        <v>-1459</v>
      </c>
      <c r="W209" s="143"/>
    </row>
    <row r="210" spans="1:23" ht="15.75" customHeight="1">
      <c r="A210" s="114"/>
      <c r="B210" s="122"/>
      <c r="C210" s="123"/>
      <c r="D210" s="39">
        <f t="shared" si="119"/>
        <v>-1459</v>
      </c>
      <c r="E210" s="128"/>
      <c r="F210" s="128"/>
      <c r="G210" s="29">
        <f t="shared" si="120"/>
        <v>-1459</v>
      </c>
      <c r="H210" s="122"/>
      <c r="I210" s="123"/>
      <c r="J210" s="39">
        <f t="shared" si="121"/>
        <v>-1459</v>
      </c>
      <c r="K210" s="128"/>
      <c r="L210" s="128"/>
      <c r="M210" s="40">
        <f t="shared" si="122"/>
        <v>-1459</v>
      </c>
      <c r="N210" s="122"/>
      <c r="O210" s="123"/>
      <c r="P210" s="39">
        <f t="shared" si="123"/>
        <v>-1459</v>
      </c>
      <c r="Q210" s="128"/>
      <c r="R210" s="128"/>
      <c r="S210" s="40">
        <f t="shared" si="124"/>
        <v>-1459</v>
      </c>
      <c r="T210" s="122"/>
      <c r="U210" s="123"/>
      <c r="V210" s="49">
        <f t="shared" si="125"/>
        <v>-1459</v>
      </c>
      <c r="W210" s="143"/>
    </row>
    <row r="211" spans="1:23" ht="15.75" customHeight="1">
      <c r="A211" s="87"/>
      <c r="B211" s="77">
        <f ca="1">IFERROR(__xludf.DUMMYFUNCTION("DATE(VALUE(LEFT($B$2,4)),VALUE(MID($B$2,6,2)),VALUE(RIGHT($B$2,2)))
+ (VALUE(REGEXEXTRACT(INDIRECT(""A""&amp;ROW()+1),""\d+""))-1)*7
+ INT((COLUMN()-COLUMN($B211))/3)
"),46145)</f>
        <v>46145</v>
      </c>
      <c r="C211" s="81"/>
      <c r="D211" s="82"/>
      <c r="E211" s="77">
        <f ca="1">IFERROR(__xludf.DUMMYFUNCTION("DATE(VALUE(LEFT($B$2,4)),VALUE(MID($B$2,6,2)),VALUE(RIGHT($B$2,2)))
+ (VALUE(REGEXEXTRACT(INDIRECT(""A""&amp;ROW()+1),""\d+""))-1)*7
+ INT((COLUMN()-COLUMN($B211))/3)
"),46146)</f>
        <v>46146</v>
      </c>
      <c r="F211" s="81"/>
      <c r="G211" s="82"/>
      <c r="H211" s="77">
        <f ca="1">IFERROR(__xludf.DUMMYFUNCTION("DATE(VALUE(LEFT($B$2,4)),VALUE(MID($B$2,6,2)),VALUE(RIGHT($B$2,2)))
+ (VALUE(REGEXEXTRACT(INDIRECT(""A""&amp;ROW()+1),""\d+""))-1)*7
+ INT((COLUMN()-COLUMN($B211))/3)
"),46147)</f>
        <v>46147</v>
      </c>
      <c r="I211" s="81"/>
      <c r="J211" s="82"/>
      <c r="K211" s="77">
        <f ca="1">IFERROR(__xludf.DUMMYFUNCTION("DATE(VALUE(LEFT($B$2,4)),VALUE(MID($B$2,6,2)),VALUE(RIGHT($B$2,2)))
+ (VALUE(REGEXEXTRACT(INDIRECT(""A""&amp;ROW()+1),""\d+""))-1)*7
+ INT((COLUMN()-COLUMN($B211))/3)
"),46148)</f>
        <v>46148</v>
      </c>
      <c r="L211" s="81"/>
      <c r="M211" s="82"/>
      <c r="N211" s="77">
        <f ca="1">IFERROR(__xludf.DUMMYFUNCTION("DATE(VALUE(LEFT($B$2,4)),VALUE(MID($B$2,6,2)),VALUE(RIGHT($B$2,2)))
+ (VALUE(REGEXEXTRACT(INDIRECT(""A""&amp;ROW()+1),""\d+""))-1)*7
+ INT((COLUMN()-COLUMN($B211))/3)
"),46149)</f>
        <v>46149</v>
      </c>
      <c r="O211" s="81"/>
      <c r="P211" s="82"/>
      <c r="Q211" s="77">
        <f ca="1">IFERROR(__xludf.DUMMYFUNCTION("DATE(VALUE(LEFT($B$2,4)),VALUE(MID($B$2,6,2)),VALUE(RIGHT($B$2,2)))
+ (VALUE(REGEXEXTRACT(INDIRECT(""A""&amp;ROW()+1),""\d+""))-1)*7
+ INT((COLUMN()-COLUMN($B211))/3)
"),46150)</f>
        <v>46150</v>
      </c>
      <c r="R211" s="81"/>
      <c r="S211" s="82"/>
      <c r="T211" s="77">
        <f ca="1">IFERROR(__xludf.DUMMYFUNCTION("DATE(VALUE(LEFT($B$2,4)),VALUE(MID($B$2,6,2)),VALUE(RIGHT($B$2,2)))
+ (VALUE(REGEXEXTRACT(INDIRECT(""A""&amp;ROW()+1),""\d+""))-1)*7
+ INT((COLUMN()-COLUMN($B211))/3)
"),46151)</f>
        <v>46151</v>
      </c>
      <c r="U211" s="81"/>
      <c r="V211" s="82"/>
      <c r="W211" s="52" t="s">
        <v>20</v>
      </c>
    </row>
    <row r="212" spans="1:23" ht="15.75" customHeight="1">
      <c r="A212" s="47" t="s">
        <v>51</v>
      </c>
      <c r="B212" s="109"/>
      <c r="C212" s="109"/>
      <c r="D212" s="42">
        <f>V210+C212</f>
        <v>-1459</v>
      </c>
      <c r="E212" s="112"/>
      <c r="F212" s="111"/>
      <c r="G212" s="36">
        <f>D222+F212</f>
        <v>-1459</v>
      </c>
      <c r="H212" s="132"/>
      <c r="I212" s="109"/>
      <c r="J212" s="42">
        <f>G222+I212</f>
        <v>-1459</v>
      </c>
      <c r="K212" s="112"/>
      <c r="L212" s="111"/>
      <c r="M212" s="18">
        <f>J222+L212</f>
        <v>-1459</v>
      </c>
      <c r="N212" s="113"/>
      <c r="O212" s="109"/>
      <c r="P212" s="35">
        <f>M222+O212</f>
        <v>-1459</v>
      </c>
      <c r="Q212" s="112"/>
      <c r="R212" s="111"/>
      <c r="S212" s="18">
        <f>P222+R212</f>
        <v>-1459</v>
      </c>
      <c r="T212" s="113"/>
      <c r="U212" s="109"/>
      <c r="V212" s="50">
        <f>S222+U212</f>
        <v>-1459</v>
      </c>
      <c r="W212" s="172"/>
    </row>
    <row r="213" spans="1:23" ht="15.75" customHeight="1">
      <c r="A213" s="114"/>
      <c r="B213" s="117"/>
      <c r="C213" s="117"/>
      <c r="D213" s="19">
        <f t="shared" ref="D213:D222" si="126">D212+C213</f>
        <v>-1459</v>
      </c>
      <c r="E213" s="106"/>
      <c r="F213" s="107"/>
      <c r="G213" s="26">
        <f t="shared" ref="G213:G222" si="127">G212+F213</f>
        <v>-1459</v>
      </c>
      <c r="H213" s="133"/>
      <c r="I213" s="117"/>
      <c r="J213" s="19">
        <f t="shared" ref="J213:J222" si="128">J212+I213</f>
        <v>-1459</v>
      </c>
      <c r="K213" s="106"/>
      <c r="L213" s="107"/>
      <c r="M213" s="26">
        <f t="shared" ref="M213:M222" si="129">M212+L213</f>
        <v>-1459</v>
      </c>
      <c r="N213" s="117"/>
      <c r="O213" s="117"/>
      <c r="P213" s="38">
        <f t="shared" ref="P213:P222" si="130">P212+O213</f>
        <v>-1459</v>
      </c>
      <c r="Q213" s="106"/>
      <c r="R213" s="107"/>
      <c r="S213" s="26">
        <f t="shared" ref="S213:S222" si="131">S212+R213</f>
        <v>-1459</v>
      </c>
      <c r="T213" s="136"/>
      <c r="U213" s="136"/>
      <c r="V213" s="45">
        <f t="shared" ref="V213:V222" si="132">V212+U213</f>
        <v>-1459</v>
      </c>
      <c r="W213" s="143"/>
    </row>
    <row r="214" spans="1:23" ht="15.75" customHeight="1">
      <c r="A214" s="114"/>
      <c r="B214" s="117"/>
      <c r="C214" s="117"/>
      <c r="D214" s="19">
        <f t="shared" si="126"/>
        <v>-1459</v>
      </c>
      <c r="E214" s="106"/>
      <c r="F214" s="107"/>
      <c r="G214" s="26">
        <f t="shared" si="127"/>
        <v>-1459</v>
      </c>
      <c r="H214" s="133"/>
      <c r="I214" s="117"/>
      <c r="J214" s="19">
        <f t="shared" si="128"/>
        <v>-1459</v>
      </c>
      <c r="K214" s="106"/>
      <c r="L214" s="107"/>
      <c r="M214" s="26">
        <f t="shared" si="129"/>
        <v>-1459</v>
      </c>
      <c r="N214" s="117"/>
      <c r="O214" s="117"/>
      <c r="P214" s="38">
        <f t="shared" si="130"/>
        <v>-1459</v>
      </c>
      <c r="Q214" s="106"/>
      <c r="R214" s="107"/>
      <c r="S214" s="26">
        <f t="shared" si="131"/>
        <v>-1459</v>
      </c>
      <c r="T214" s="136"/>
      <c r="U214" s="136"/>
      <c r="V214" s="45">
        <f t="shared" si="132"/>
        <v>-1459</v>
      </c>
      <c r="W214" s="143"/>
    </row>
    <row r="215" spans="1:23" ht="15.75" customHeight="1">
      <c r="A215" s="114"/>
      <c r="B215" s="117"/>
      <c r="C215" s="117"/>
      <c r="D215" s="19">
        <f t="shared" si="126"/>
        <v>-1459</v>
      </c>
      <c r="E215" s="106"/>
      <c r="F215" s="107"/>
      <c r="G215" s="26">
        <f t="shared" si="127"/>
        <v>-1459</v>
      </c>
      <c r="H215" s="133"/>
      <c r="I215" s="117"/>
      <c r="J215" s="19">
        <f t="shared" si="128"/>
        <v>-1459</v>
      </c>
      <c r="K215" s="106"/>
      <c r="L215" s="107"/>
      <c r="M215" s="26">
        <f t="shared" si="129"/>
        <v>-1459</v>
      </c>
      <c r="N215" s="117"/>
      <c r="O215" s="117"/>
      <c r="P215" s="38">
        <f t="shared" si="130"/>
        <v>-1459</v>
      </c>
      <c r="Q215" s="106"/>
      <c r="R215" s="107"/>
      <c r="S215" s="26">
        <f t="shared" si="131"/>
        <v>-1459</v>
      </c>
      <c r="T215" s="136"/>
      <c r="U215" s="136"/>
      <c r="V215" s="45">
        <f t="shared" si="132"/>
        <v>-1459</v>
      </c>
      <c r="W215" s="143"/>
    </row>
    <row r="216" spans="1:23" ht="15.75" customHeight="1">
      <c r="A216" s="114"/>
      <c r="B216" s="117"/>
      <c r="C216" s="117"/>
      <c r="D216" s="19">
        <f t="shared" si="126"/>
        <v>-1459</v>
      </c>
      <c r="E216" s="106"/>
      <c r="F216" s="107"/>
      <c r="G216" s="26">
        <f t="shared" si="127"/>
        <v>-1459</v>
      </c>
      <c r="H216" s="133"/>
      <c r="I216" s="117"/>
      <c r="J216" s="19">
        <f t="shared" si="128"/>
        <v>-1459</v>
      </c>
      <c r="K216" s="106"/>
      <c r="L216" s="107"/>
      <c r="M216" s="26">
        <f t="shared" si="129"/>
        <v>-1459</v>
      </c>
      <c r="N216" s="117"/>
      <c r="O216" s="117"/>
      <c r="P216" s="38">
        <f t="shared" si="130"/>
        <v>-1459</v>
      </c>
      <c r="Q216" s="106"/>
      <c r="R216" s="107"/>
      <c r="S216" s="26">
        <f t="shared" si="131"/>
        <v>-1459</v>
      </c>
      <c r="T216" s="136"/>
      <c r="U216" s="136"/>
      <c r="V216" s="45">
        <f t="shared" si="132"/>
        <v>-1459</v>
      </c>
      <c r="W216" s="143"/>
    </row>
    <row r="217" spans="1:23" ht="15.75" customHeight="1">
      <c r="A217" s="114"/>
      <c r="B217" s="117"/>
      <c r="C217" s="117"/>
      <c r="D217" s="19">
        <f t="shared" si="126"/>
        <v>-1459</v>
      </c>
      <c r="E217" s="106"/>
      <c r="F217" s="107"/>
      <c r="G217" s="26">
        <f t="shared" si="127"/>
        <v>-1459</v>
      </c>
      <c r="H217" s="133"/>
      <c r="I217" s="117"/>
      <c r="J217" s="19">
        <f t="shared" si="128"/>
        <v>-1459</v>
      </c>
      <c r="K217" s="106"/>
      <c r="L217" s="107"/>
      <c r="M217" s="26">
        <f t="shared" si="129"/>
        <v>-1459</v>
      </c>
      <c r="N217" s="117"/>
      <c r="O217" s="117"/>
      <c r="P217" s="38">
        <f t="shared" si="130"/>
        <v>-1459</v>
      </c>
      <c r="Q217" s="106"/>
      <c r="R217" s="107"/>
      <c r="S217" s="26">
        <f t="shared" si="131"/>
        <v>-1459</v>
      </c>
      <c r="T217" s="136"/>
      <c r="U217" s="136"/>
      <c r="V217" s="45">
        <f t="shared" si="132"/>
        <v>-1459</v>
      </c>
      <c r="W217" s="143"/>
    </row>
    <row r="218" spans="1:23" ht="15.75" customHeight="1">
      <c r="A218" s="114"/>
      <c r="B218" s="117"/>
      <c r="C218" s="117"/>
      <c r="D218" s="19">
        <f t="shared" si="126"/>
        <v>-1459</v>
      </c>
      <c r="E218" s="106"/>
      <c r="F218" s="107"/>
      <c r="G218" s="26">
        <f t="shared" si="127"/>
        <v>-1459</v>
      </c>
      <c r="H218" s="133"/>
      <c r="I218" s="117"/>
      <c r="J218" s="19">
        <f t="shared" si="128"/>
        <v>-1459</v>
      </c>
      <c r="K218" s="106"/>
      <c r="L218" s="107"/>
      <c r="M218" s="26">
        <f t="shared" si="129"/>
        <v>-1459</v>
      </c>
      <c r="N218" s="118"/>
      <c r="O218" s="117"/>
      <c r="P218" s="38">
        <f t="shared" si="130"/>
        <v>-1459</v>
      </c>
      <c r="Q218" s="106"/>
      <c r="R218" s="107"/>
      <c r="S218" s="26">
        <f t="shared" si="131"/>
        <v>-1459</v>
      </c>
      <c r="T218" s="136"/>
      <c r="U218" s="136"/>
      <c r="V218" s="45">
        <f t="shared" si="132"/>
        <v>-1459</v>
      </c>
      <c r="W218" s="143"/>
    </row>
    <row r="219" spans="1:23" ht="15.75" customHeight="1">
      <c r="A219" s="114"/>
      <c r="B219" s="117"/>
      <c r="C219" s="117"/>
      <c r="D219" s="19">
        <f t="shared" si="126"/>
        <v>-1459</v>
      </c>
      <c r="E219" s="106"/>
      <c r="F219" s="107"/>
      <c r="G219" s="26">
        <f t="shared" si="127"/>
        <v>-1459</v>
      </c>
      <c r="H219" s="133"/>
      <c r="I219" s="117"/>
      <c r="J219" s="19">
        <f t="shared" si="128"/>
        <v>-1459</v>
      </c>
      <c r="K219" s="106"/>
      <c r="L219" s="107"/>
      <c r="M219" s="26">
        <f t="shared" si="129"/>
        <v>-1459</v>
      </c>
      <c r="N219" s="117"/>
      <c r="O219" s="117"/>
      <c r="P219" s="38">
        <f t="shared" si="130"/>
        <v>-1459</v>
      </c>
      <c r="Q219" s="106"/>
      <c r="R219" s="107"/>
      <c r="S219" s="26">
        <f t="shared" si="131"/>
        <v>-1459</v>
      </c>
      <c r="T219" s="136"/>
      <c r="U219" s="136"/>
      <c r="V219" s="45">
        <f t="shared" si="132"/>
        <v>-1459</v>
      </c>
      <c r="W219" s="143"/>
    </row>
    <row r="220" spans="1:23" ht="15.75" customHeight="1">
      <c r="A220" s="114"/>
      <c r="B220" s="117"/>
      <c r="C220" s="117"/>
      <c r="D220" s="19">
        <f t="shared" si="126"/>
        <v>-1459</v>
      </c>
      <c r="E220" s="106"/>
      <c r="F220" s="107"/>
      <c r="G220" s="26">
        <f t="shared" si="127"/>
        <v>-1459</v>
      </c>
      <c r="H220" s="133"/>
      <c r="I220" s="117"/>
      <c r="J220" s="19">
        <f t="shared" si="128"/>
        <v>-1459</v>
      </c>
      <c r="K220" s="106"/>
      <c r="L220" s="107"/>
      <c r="M220" s="26">
        <f t="shared" si="129"/>
        <v>-1459</v>
      </c>
      <c r="N220" s="117"/>
      <c r="O220" s="117"/>
      <c r="P220" s="38">
        <f t="shared" si="130"/>
        <v>-1459</v>
      </c>
      <c r="Q220" s="106"/>
      <c r="R220" s="107"/>
      <c r="S220" s="26">
        <f t="shared" si="131"/>
        <v>-1459</v>
      </c>
      <c r="T220" s="136"/>
      <c r="U220" s="136"/>
      <c r="V220" s="45">
        <f t="shared" si="132"/>
        <v>-1459</v>
      </c>
      <c r="W220" s="143"/>
    </row>
    <row r="221" spans="1:23" ht="15.75" customHeight="1">
      <c r="A221" s="114"/>
      <c r="B221" s="118"/>
      <c r="C221" s="117"/>
      <c r="D221" s="19">
        <f t="shared" si="126"/>
        <v>-1459</v>
      </c>
      <c r="E221" s="122"/>
      <c r="F221" s="123"/>
      <c r="G221" s="26">
        <f t="shared" si="127"/>
        <v>-1459</v>
      </c>
      <c r="H221" s="133"/>
      <c r="I221" s="117"/>
      <c r="J221" s="19">
        <f t="shared" si="128"/>
        <v>-1459</v>
      </c>
      <c r="K221" s="122"/>
      <c r="L221" s="123"/>
      <c r="M221" s="26">
        <f t="shared" si="129"/>
        <v>-1459</v>
      </c>
      <c r="N221" s="117"/>
      <c r="O221" s="117"/>
      <c r="P221" s="38">
        <f t="shared" si="130"/>
        <v>-1459</v>
      </c>
      <c r="Q221" s="122"/>
      <c r="R221" s="123"/>
      <c r="S221" s="26">
        <f t="shared" si="131"/>
        <v>-1459</v>
      </c>
      <c r="T221" s="136"/>
      <c r="U221" s="136"/>
      <c r="V221" s="45">
        <f t="shared" si="132"/>
        <v>-1459</v>
      </c>
      <c r="W221" s="143"/>
    </row>
    <row r="222" spans="1:23" ht="15.75" customHeight="1">
      <c r="A222" s="114"/>
      <c r="B222" s="128"/>
      <c r="C222" s="128"/>
      <c r="D222" s="29">
        <f t="shared" si="126"/>
        <v>-1459</v>
      </c>
      <c r="E222" s="122"/>
      <c r="F222" s="123"/>
      <c r="G222" s="53">
        <f t="shared" si="127"/>
        <v>-1459</v>
      </c>
      <c r="H222" s="140"/>
      <c r="I222" s="128"/>
      <c r="J222" s="29">
        <f t="shared" si="128"/>
        <v>-1459</v>
      </c>
      <c r="K222" s="122"/>
      <c r="L222" s="123"/>
      <c r="M222" s="39">
        <f t="shared" si="129"/>
        <v>-1459</v>
      </c>
      <c r="N222" s="128"/>
      <c r="O222" s="128"/>
      <c r="P222" s="40">
        <f t="shared" si="130"/>
        <v>-1459</v>
      </c>
      <c r="Q222" s="122"/>
      <c r="R222" s="123"/>
      <c r="S222" s="39">
        <f t="shared" si="131"/>
        <v>-1459</v>
      </c>
      <c r="T222" s="141"/>
      <c r="U222" s="141"/>
      <c r="V222" s="46">
        <f t="shared" si="132"/>
        <v>-1459</v>
      </c>
      <c r="W222" s="143"/>
    </row>
    <row r="223" spans="1:23" ht="15.75" customHeight="1">
      <c r="A223" s="87"/>
      <c r="B223" s="77">
        <f ca="1">IFERROR(__xludf.DUMMYFUNCTION("DATE(VALUE(LEFT($B$2,4)),VALUE(MID($B$2,6,2)),VALUE(RIGHT($B$2,2)))
+ (VALUE(REGEXEXTRACT(INDIRECT(""A""&amp;ROW()+1),""\d+""))-1)*7
+ INT((COLUMN()-COLUMN($B223))/3)
"),46152)</f>
        <v>46152</v>
      </c>
      <c r="C223" s="81"/>
      <c r="D223" s="82"/>
      <c r="E223" s="77">
        <f ca="1">IFERROR(__xludf.DUMMYFUNCTION("DATE(VALUE(LEFT($B$2,4)),VALUE(MID($B$2,6,2)),VALUE(RIGHT($B$2,2)))
+ (VALUE(REGEXEXTRACT(INDIRECT(""A""&amp;ROW()+1),""\d+""))-1)*7
+ INT((COLUMN()-COLUMN($B223))/3)
"),46153)</f>
        <v>46153</v>
      </c>
      <c r="F223" s="81"/>
      <c r="G223" s="82"/>
      <c r="H223" s="77">
        <f ca="1">IFERROR(__xludf.DUMMYFUNCTION("DATE(VALUE(LEFT($B$2,4)),VALUE(MID($B$2,6,2)),VALUE(RIGHT($B$2,2)))
+ (VALUE(REGEXEXTRACT(INDIRECT(""A""&amp;ROW()+1),""\d+""))-1)*7
+ INT((COLUMN()-COLUMN($B223))/3)
"),46154)</f>
        <v>46154</v>
      </c>
      <c r="I223" s="81"/>
      <c r="J223" s="82"/>
      <c r="K223" s="77">
        <f ca="1">IFERROR(__xludf.DUMMYFUNCTION("DATE(VALUE(LEFT($B$2,4)),VALUE(MID($B$2,6,2)),VALUE(RIGHT($B$2,2)))
+ (VALUE(REGEXEXTRACT(INDIRECT(""A""&amp;ROW()+1),""\d+""))-1)*7
+ INT((COLUMN()-COLUMN($B223))/3)
"),46155)</f>
        <v>46155</v>
      </c>
      <c r="L223" s="81"/>
      <c r="M223" s="82"/>
      <c r="N223" s="77">
        <f ca="1">IFERROR(__xludf.DUMMYFUNCTION("DATE(VALUE(LEFT($B$2,4)),VALUE(MID($B$2,6,2)),VALUE(RIGHT($B$2,2)))
+ (VALUE(REGEXEXTRACT(INDIRECT(""A""&amp;ROW()+1),""\d+""))-1)*7
+ INT((COLUMN()-COLUMN($B223))/3)
"),46156)</f>
        <v>46156</v>
      </c>
      <c r="O223" s="81"/>
      <c r="P223" s="82"/>
      <c r="Q223" s="77">
        <f ca="1">IFERROR(__xludf.DUMMYFUNCTION("DATE(VALUE(LEFT($B$2,4)),VALUE(MID($B$2,6,2)),VALUE(RIGHT($B$2,2)))
+ (VALUE(REGEXEXTRACT(INDIRECT(""A""&amp;ROW()+1),""\d+""))-1)*7
+ INT((COLUMN()-COLUMN($B223))/3)
"),46157)</f>
        <v>46157</v>
      </c>
      <c r="R223" s="81"/>
      <c r="S223" s="82"/>
      <c r="T223" s="77">
        <f ca="1">IFERROR(__xludf.DUMMYFUNCTION("DATE(VALUE(LEFT($B$2,4)),VALUE(MID($B$2,6,2)),VALUE(RIGHT($B$2,2)))
+ (VALUE(REGEXEXTRACT(INDIRECT(""A""&amp;ROW()+1),""\d+""))-1)*7
+ INT((COLUMN()-COLUMN($B223))/3)
"),46158)</f>
        <v>46158</v>
      </c>
      <c r="U223" s="81"/>
      <c r="V223" s="82"/>
      <c r="W223" s="143"/>
    </row>
    <row r="224" spans="1:23" ht="15.75" customHeight="1">
      <c r="A224" s="51" t="s">
        <v>72</v>
      </c>
      <c r="B224" s="112"/>
      <c r="C224" s="111"/>
      <c r="D224" s="17">
        <f>V222+C224</f>
        <v>-1459</v>
      </c>
      <c r="E224" s="109"/>
      <c r="F224" s="109"/>
      <c r="G224" s="54">
        <f>D234+F224</f>
        <v>-1459</v>
      </c>
      <c r="H224" s="110"/>
      <c r="I224" s="111"/>
      <c r="J224" s="17">
        <f>G234+I224</f>
        <v>-1459</v>
      </c>
      <c r="K224" s="109"/>
      <c r="L224" s="109"/>
      <c r="M224" s="35">
        <f>J234+L224</f>
        <v>-1459</v>
      </c>
      <c r="N224" s="112"/>
      <c r="O224" s="111"/>
      <c r="P224" s="17">
        <f>M234+O224</f>
        <v>-1459</v>
      </c>
      <c r="Q224" s="109"/>
      <c r="R224" s="109"/>
      <c r="S224" s="35">
        <f>P234+R224</f>
        <v>-1459</v>
      </c>
      <c r="T224" s="112"/>
      <c r="U224" s="111"/>
      <c r="V224" s="48">
        <f>S234+U224</f>
        <v>-1459</v>
      </c>
      <c r="W224" s="143"/>
    </row>
    <row r="225" spans="1:23" ht="15.75" customHeight="1">
      <c r="A225" s="114"/>
      <c r="B225" s="106"/>
      <c r="C225" s="107"/>
      <c r="D225" s="26">
        <f t="shared" ref="D225:D234" si="133">D224+C225</f>
        <v>-1459</v>
      </c>
      <c r="E225" s="117"/>
      <c r="F225" s="117"/>
      <c r="G225" s="19">
        <f t="shared" ref="G225:G234" si="134">G224+F225</f>
        <v>-1459</v>
      </c>
      <c r="H225" s="116"/>
      <c r="I225" s="107"/>
      <c r="J225" s="26">
        <f t="shared" ref="J225:J234" si="135">J224+I225</f>
        <v>-1459</v>
      </c>
      <c r="K225" s="117"/>
      <c r="L225" s="117"/>
      <c r="M225" s="38">
        <f t="shared" ref="M225:M234" si="136">M224+L225</f>
        <v>-1459</v>
      </c>
      <c r="N225" s="106"/>
      <c r="O225" s="107"/>
      <c r="P225" s="26">
        <f t="shared" ref="P225:P234" si="137">P224+O225</f>
        <v>-1459</v>
      </c>
      <c r="Q225" s="117"/>
      <c r="R225" s="117"/>
      <c r="S225" s="38">
        <f t="shared" ref="S225:S234" si="138">S224+R225</f>
        <v>-1459</v>
      </c>
      <c r="T225" s="106"/>
      <c r="U225" s="107"/>
      <c r="V225" s="20">
        <f t="shared" ref="V225:V234" si="139">V224+U225</f>
        <v>-1459</v>
      </c>
      <c r="W225" s="143"/>
    </row>
    <row r="226" spans="1:23" ht="15.75" customHeight="1">
      <c r="A226" s="114"/>
      <c r="B226" s="106"/>
      <c r="C226" s="107"/>
      <c r="D226" s="26">
        <f t="shared" si="133"/>
        <v>-1459</v>
      </c>
      <c r="E226" s="117"/>
      <c r="F226" s="117"/>
      <c r="G226" s="19">
        <f t="shared" si="134"/>
        <v>-1459</v>
      </c>
      <c r="H226" s="116"/>
      <c r="I226" s="107"/>
      <c r="J226" s="26">
        <f t="shared" si="135"/>
        <v>-1459</v>
      </c>
      <c r="K226" s="117"/>
      <c r="L226" s="117"/>
      <c r="M226" s="38">
        <f t="shared" si="136"/>
        <v>-1459</v>
      </c>
      <c r="N226" s="106"/>
      <c r="O226" s="107"/>
      <c r="P226" s="26">
        <f t="shared" si="137"/>
        <v>-1459</v>
      </c>
      <c r="Q226" s="117"/>
      <c r="R226" s="117"/>
      <c r="S226" s="38">
        <f t="shared" si="138"/>
        <v>-1459</v>
      </c>
      <c r="T226" s="106"/>
      <c r="U226" s="116"/>
      <c r="V226" s="20">
        <f t="shared" si="139"/>
        <v>-1459</v>
      </c>
      <c r="W226" s="143"/>
    </row>
    <row r="227" spans="1:23" ht="15.75" customHeight="1">
      <c r="A227" s="114"/>
      <c r="B227" s="106"/>
      <c r="C227" s="107"/>
      <c r="D227" s="26">
        <f t="shared" si="133"/>
        <v>-1459</v>
      </c>
      <c r="E227" s="117"/>
      <c r="F227" s="117"/>
      <c r="G227" s="19">
        <f t="shared" si="134"/>
        <v>-1459</v>
      </c>
      <c r="H227" s="116"/>
      <c r="I227" s="107"/>
      <c r="J227" s="26">
        <f t="shared" si="135"/>
        <v>-1459</v>
      </c>
      <c r="K227" s="117"/>
      <c r="L227" s="117"/>
      <c r="M227" s="38">
        <f t="shared" si="136"/>
        <v>-1459</v>
      </c>
      <c r="N227" s="106"/>
      <c r="O227" s="107"/>
      <c r="P227" s="26">
        <f t="shared" si="137"/>
        <v>-1459</v>
      </c>
      <c r="Q227" s="117"/>
      <c r="R227" s="117"/>
      <c r="S227" s="38">
        <f t="shared" si="138"/>
        <v>-1459</v>
      </c>
      <c r="T227" s="106"/>
      <c r="U227" s="116"/>
      <c r="V227" s="20">
        <f t="shared" si="139"/>
        <v>-1459</v>
      </c>
      <c r="W227" s="143"/>
    </row>
    <row r="228" spans="1:23" ht="15.75" customHeight="1">
      <c r="A228" s="114"/>
      <c r="B228" s="106"/>
      <c r="C228" s="107"/>
      <c r="D228" s="26">
        <f t="shared" si="133"/>
        <v>-1459</v>
      </c>
      <c r="E228" s="117"/>
      <c r="F228" s="117"/>
      <c r="G228" s="19">
        <f t="shared" si="134"/>
        <v>-1459</v>
      </c>
      <c r="H228" s="116"/>
      <c r="I228" s="107"/>
      <c r="J228" s="26">
        <f t="shared" si="135"/>
        <v>-1459</v>
      </c>
      <c r="K228" s="117"/>
      <c r="L228" s="117"/>
      <c r="M228" s="38">
        <f t="shared" si="136"/>
        <v>-1459</v>
      </c>
      <c r="N228" s="106"/>
      <c r="O228" s="107"/>
      <c r="P228" s="26">
        <f t="shared" si="137"/>
        <v>-1459</v>
      </c>
      <c r="Q228" s="133"/>
      <c r="R228" s="117"/>
      <c r="S228" s="38">
        <f t="shared" si="138"/>
        <v>-1459</v>
      </c>
      <c r="T228" s="106"/>
      <c r="U228" s="116"/>
      <c r="V228" s="20">
        <f t="shared" si="139"/>
        <v>-1459</v>
      </c>
      <c r="W228" s="143"/>
    </row>
    <row r="229" spans="1:23" ht="15.75" customHeight="1">
      <c r="A229" s="114"/>
      <c r="B229" s="106"/>
      <c r="C229" s="107"/>
      <c r="D229" s="26">
        <f t="shared" si="133"/>
        <v>-1459</v>
      </c>
      <c r="E229" s="117"/>
      <c r="F229" s="117"/>
      <c r="G229" s="19">
        <f t="shared" si="134"/>
        <v>-1459</v>
      </c>
      <c r="H229" s="116"/>
      <c r="I229" s="107"/>
      <c r="J229" s="26">
        <f t="shared" si="135"/>
        <v>-1459</v>
      </c>
      <c r="K229" s="117"/>
      <c r="L229" s="117"/>
      <c r="M229" s="38">
        <f t="shared" si="136"/>
        <v>-1459</v>
      </c>
      <c r="N229" s="106"/>
      <c r="O229" s="107"/>
      <c r="P229" s="26">
        <f t="shared" si="137"/>
        <v>-1459</v>
      </c>
      <c r="Q229" s="117"/>
      <c r="R229" s="117"/>
      <c r="S229" s="38">
        <f t="shared" si="138"/>
        <v>-1459</v>
      </c>
      <c r="T229" s="106"/>
      <c r="U229" s="116"/>
      <c r="V229" s="20">
        <f t="shared" si="139"/>
        <v>-1459</v>
      </c>
      <c r="W229" s="143"/>
    </row>
    <row r="230" spans="1:23" ht="15.75" customHeight="1">
      <c r="A230" s="114"/>
      <c r="B230" s="106"/>
      <c r="C230" s="107"/>
      <c r="D230" s="26">
        <f t="shared" si="133"/>
        <v>-1459</v>
      </c>
      <c r="E230" s="117"/>
      <c r="F230" s="117"/>
      <c r="G230" s="19">
        <f t="shared" si="134"/>
        <v>-1459</v>
      </c>
      <c r="H230" s="116"/>
      <c r="I230" s="107"/>
      <c r="J230" s="26">
        <f t="shared" si="135"/>
        <v>-1459</v>
      </c>
      <c r="K230" s="117"/>
      <c r="L230" s="117"/>
      <c r="M230" s="38">
        <f t="shared" si="136"/>
        <v>-1459</v>
      </c>
      <c r="N230" s="106"/>
      <c r="O230" s="107"/>
      <c r="P230" s="26">
        <f t="shared" si="137"/>
        <v>-1459</v>
      </c>
      <c r="Q230" s="117"/>
      <c r="R230" s="117"/>
      <c r="S230" s="38">
        <f t="shared" si="138"/>
        <v>-1459</v>
      </c>
      <c r="T230" s="106"/>
      <c r="U230" s="116"/>
      <c r="V230" s="20">
        <f t="shared" si="139"/>
        <v>-1459</v>
      </c>
      <c r="W230" s="143"/>
    </row>
    <row r="231" spans="1:23" ht="15.75" customHeight="1">
      <c r="A231" s="114"/>
      <c r="B231" s="106"/>
      <c r="C231" s="107"/>
      <c r="D231" s="26">
        <f t="shared" si="133"/>
        <v>-1459</v>
      </c>
      <c r="E231" s="117"/>
      <c r="F231" s="117"/>
      <c r="G231" s="19">
        <f t="shared" si="134"/>
        <v>-1459</v>
      </c>
      <c r="H231" s="116"/>
      <c r="I231" s="107"/>
      <c r="J231" s="26">
        <f t="shared" si="135"/>
        <v>-1459</v>
      </c>
      <c r="K231" s="117"/>
      <c r="L231" s="117"/>
      <c r="M231" s="38">
        <f t="shared" si="136"/>
        <v>-1459</v>
      </c>
      <c r="N231" s="106"/>
      <c r="O231" s="107"/>
      <c r="P231" s="26">
        <f t="shared" si="137"/>
        <v>-1459</v>
      </c>
      <c r="Q231" s="117"/>
      <c r="R231" s="117"/>
      <c r="S231" s="38">
        <f t="shared" si="138"/>
        <v>-1459</v>
      </c>
      <c r="T231" s="106"/>
      <c r="U231" s="116"/>
      <c r="V231" s="20">
        <f t="shared" si="139"/>
        <v>-1459</v>
      </c>
      <c r="W231" s="143"/>
    </row>
    <row r="232" spans="1:23" ht="15.75" customHeight="1">
      <c r="A232" s="114"/>
      <c r="B232" s="122"/>
      <c r="C232" s="123"/>
      <c r="D232" s="26">
        <f t="shared" si="133"/>
        <v>-1459</v>
      </c>
      <c r="E232" s="117"/>
      <c r="F232" s="117"/>
      <c r="G232" s="19">
        <f t="shared" si="134"/>
        <v>-1459</v>
      </c>
      <c r="H232" s="124"/>
      <c r="I232" s="123"/>
      <c r="J232" s="26">
        <f t="shared" si="135"/>
        <v>-1459</v>
      </c>
      <c r="K232" s="117"/>
      <c r="L232" s="117"/>
      <c r="M232" s="38">
        <f t="shared" si="136"/>
        <v>-1459</v>
      </c>
      <c r="N232" s="122"/>
      <c r="O232" s="123"/>
      <c r="P232" s="26">
        <f t="shared" si="137"/>
        <v>-1459</v>
      </c>
      <c r="Q232" s="117"/>
      <c r="R232" s="117"/>
      <c r="S232" s="38">
        <f t="shared" si="138"/>
        <v>-1459</v>
      </c>
      <c r="T232" s="106"/>
      <c r="U232" s="116"/>
      <c r="V232" s="20">
        <f t="shared" si="139"/>
        <v>-1459</v>
      </c>
      <c r="W232" s="143"/>
    </row>
    <row r="233" spans="1:23" ht="15.75" customHeight="1">
      <c r="A233" s="114"/>
      <c r="B233" s="122"/>
      <c r="C233" s="123"/>
      <c r="D233" s="26">
        <f t="shared" si="133"/>
        <v>-1459</v>
      </c>
      <c r="E233" s="117"/>
      <c r="F233" s="117"/>
      <c r="G233" s="19">
        <f t="shared" si="134"/>
        <v>-1459</v>
      </c>
      <c r="H233" s="124"/>
      <c r="I233" s="123"/>
      <c r="J233" s="26">
        <f t="shared" si="135"/>
        <v>-1459</v>
      </c>
      <c r="K233" s="117"/>
      <c r="L233" s="117"/>
      <c r="M233" s="38">
        <f t="shared" si="136"/>
        <v>-1459</v>
      </c>
      <c r="N233" s="122"/>
      <c r="O233" s="123"/>
      <c r="P233" s="26">
        <f t="shared" si="137"/>
        <v>-1459</v>
      </c>
      <c r="Q233" s="117"/>
      <c r="R233" s="117"/>
      <c r="S233" s="38">
        <f t="shared" si="138"/>
        <v>-1459</v>
      </c>
      <c r="T233" s="122"/>
      <c r="U233" s="124"/>
      <c r="V233" s="20">
        <f t="shared" si="139"/>
        <v>-1459</v>
      </c>
      <c r="W233" s="143"/>
    </row>
    <row r="234" spans="1:23" ht="15.75" customHeight="1">
      <c r="A234" s="114"/>
      <c r="B234" s="122"/>
      <c r="C234" s="123"/>
      <c r="D234" s="39">
        <f t="shared" si="133"/>
        <v>-1459</v>
      </c>
      <c r="E234" s="128"/>
      <c r="F234" s="128"/>
      <c r="G234" s="55">
        <f t="shared" si="134"/>
        <v>-1459</v>
      </c>
      <c r="H234" s="124"/>
      <c r="I234" s="123"/>
      <c r="J234" s="39">
        <f t="shared" si="135"/>
        <v>-1459</v>
      </c>
      <c r="K234" s="128"/>
      <c r="L234" s="128"/>
      <c r="M234" s="40">
        <f t="shared" si="136"/>
        <v>-1459</v>
      </c>
      <c r="N234" s="122"/>
      <c r="O234" s="123"/>
      <c r="P234" s="39">
        <f t="shared" si="137"/>
        <v>-1459</v>
      </c>
      <c r="Q234" s="128"/>
      <c r="R234" s="128"/>
      <c r="S234" s="40">
        <f t="shared" si="138"/>
        <v>-1459</v>
      </c>
      <c r="T234" s="122"/>
      <c r="U234" s="123"/>
      <c r="V234" s="49">
        <f t="shared" si="139"/>
        <v>-1459</v>
      </c>
      <c r="W234" s="143"/>
    </row>
    <row r="235" spans="1:23" ht="15.75" customHeight="1">
      <c r="A235" s="87"/>
      <c r="B235" s="77">
        <f ca="1">IFERROR(__xludf.DUMMYFUNCTION("DATE(VALUE(LEFT($B$2,4)),VALUE(MID($B$2,6,2)),VALUE(RIGHT($B$2,2)))
+ (VALUE(REGEXEXTRACT(INDIRECT(""A""&amp;ROW()+1),""\d+""))-1)*7
+ INT((COLUMN()-COLUMN($B235))/3)
"),46159)</f>
        <v>46159</v>
      </c>
      <c r="C235" s="81"/>
      <c r="D235" s="82"/>
      <c r="E235" s="77">
        <f ca="1">IFERROR(__xludf.DUMMYFUNCTION("DATE(VALUE(LEFT($B$2,4)),VALUE(MID($B$2,6,2)),VALUE(RIGHT($B$2,2)))
+ (VALUE(REGEXEXTRACT(INDIRECT(""A""&amp;ROW()+1),""\d+""))-1)*7
+ INT((COLUMN()-COLUMN($B235))/3)
"),46160)</f>
        <v>46160</v>
      </c>
      <c r="F235" s="81"/>
      <c r="G235" s="82"/>
      <c r="H235" s="77">
        <f ca="1">IFERROR(__xludf.DUMMYFUNCTION("DATE(VALUE(LEFT($B$2,4)),VALUE(MID($B$2,6,2)),VALUE(RIGHT($B$2,2)))
+ (VALUE(REGEXEXTRACT(INDIRECT(""A""&amp;ROW()+1),""\d+""))-1)*7
+ INT((COLUMN()-COLUMN($B235))/3)
"),46161)</f>
        <v>46161</v>
      </c>
      <c r="I235" s="81"/>
      <c r="J235" s="82"/>
      <c r="K235" s="77">
        <f ca="1">IFERROR(__xludf.DUMMYFUNCTION("DATE(VALUE(LEFT($B$2,4)),VALUE(MID($B$2,6,2)),VALUE(RIGHT($B$2,2)))
+ (VALUE(REGEXEXTRACT(INDIRECT(""A""&amp;ROW()+1),""\d+""))-1)*7
+ INT((COLUMN()-COLUMN($B235))/3)
"),46162)</f>
        <v>46162</v>
      </c>
      <c r="L235" s="81"/>
      <c r="M235" s="82"/>
      <c r="N235" s="77">
        <f ca="1">IFERROR(__xludf.DUMMYFUNCTION("DATE(VALUE(LEFT($B$2,4)),VALUE(MID($B$2,6,2)),VALUE(RIGHT($B$2,2)))
+ (VALUE(REGEXEXTRACT(INDIRECT(""A""&amp;ROW()+1),""\d+""))-1)*7
+ INT((COLUMN()-COLUMN($B235))/3)
"),46163)</f>
        <v>46163</v>
      </c>
      <c r="O235" s="81"/>
      <c r="P235" s="82"/>
      <c r="Q235" s="77">
        <f ca="1">IFERROR(__xludf.DUMMYFUNCTION("DATE(VALUE(LEFT($B$2,4)),VALUE(MID($B$2,6,2)),VALUE(RIGHT($B$2,2)))
+ (VALUE(REGEXEXTRACT(INDIRECT(""A""&amp;ROW()+1),""\d+""))-1)*7
+ INT((COLUMN()-COLUMN($B235))/3)
"),46164)</f>
        <v>46164</v>
      </c>
      <c r="R235" s="81"/>
      <c r="S235" s="82"/>
      <c r="T235" s="77">
        <f ca="1">IFERROR(__xludf.DUMMYFUNCTION("DATE(VALUE(LEFT($B$2,4)),VALUE(MID($B$2,6,2)),VALUE(RIGHT($B$2,2)))
+ (VALUE(REGEXEXTRACT(INDIRECT(""A""&amp;ROW()+1),""\d+""))-1)*7
+ INT((COLUMN()-COLUMN($B235))/3)
"),46165)</f>
        <v>46165</v>
      </c>
      <c r="U235" s="81"/>
      <c r="V235" s="82"/>
      <c r="W235" s="52" t="s">
        <v>20</v>
      </c>
    </row>
    <row r="236" spans="1:23" ht="15.75" customHeight="1">
      <c r="A236" s="47" t="s">
        <v>89</v>
      </c>
      <c r="B236" s="109"/>
      <c r="C236" s="109"/>
      <c r="D236" s="42">
        <f>V234+C236</f>
        <v>-1459</v>
      </c>
      <c r="E236" s="112"/>
      <c r="F236" s="111"/>
      <c r="G236" s="36">
        <f>D246+F236</f>
        <v>-1459</v>
      </c>
      <c r="H236" s="132"/>
      <c r="I236" s="109"/>
      <c r="J236" s="42">
        <f>G246+I236</f>
        <v>-1459</v>
      </c>
      <c r="K236" s="112"/>
      <c r="L236" s="111"/>
      <c r="M236" s="18">
        <f>J246+L236</f>
        <v>-1459</v>
      </c>
      <c r="N236" s="113"/>
      <c r="O236" s="109"/>
      <c r="P236" s="35">
        <f>M246+O236</f>
        <v>-1459</v>
      </c>
      <c r="Q236" s="112"/>
      <c r="R236" s="111"/>
      <c r="S236" s="18">
        <f>P246+R236</f>
        <v>-1459</v>
      </c>
      <c r="T236" s="113"/>
      <c r="U236" s="109"/>
      <c r="V236" s="50">
        <f>S246+U236</f>
        <v>-1459</v>
      </c>
      <c r="W236" s="172"/>
    </row>
    <row r="237" spans="1:23" ht="15.75" customHeight="1">
      <c r="A237" s="114"/>
      <c r="B237" s="117"/>
      <c r="C237" s="117"/>
      <c r="D237" s="19">
        <f t="shared" ref="D237:D246" si="140">D236+C237</f>
        <v>-1459</v>
      </c>
      <c r="E237" s="106"/>
      <c r="F237" s="107"/>
      <c r="G237" s="26">
        <f t="shared" ref="G237:G246" si="141">G236+F237</f>
        <v>-1459</v>
      </c>
      <c r="H237" s="133"/>
      <c r="I237" s="117"/>
      <c r="J237" s="19">
        <f t="shared" ref="J237:J246" si="142">J236+I237</f>
        <v>-1459</v>
      </c>
      <c r="K237" s="106"/>
      <c r="L237" s="107"/>
      <c r="M237" s="26">
        <f t="shared" ref="M237:M246" si="143">M236+L237</f>
        <v>-1459</v>
      </c>
      <c r="N237" s="118"/>
      <c r="O237" s="117"/>
      <c r="P237" s="38">
        <f t="shared" ref="P237:P246" si="144">P236+O237</f>
        <v>-1459</v>
      </c>
      <c r="Q237" s="106"/>
      <c r="R237" s="107"/>
      <c r="S237" s="26">
        <f t="shared" ref="S237:S246" si="145">S236+R237</f>
        <v>-1459</v>
      </c>
      <c r="T237" s="136"/>
      <c r="U237" s="136"/>
      <c r="V237" s="45">
        <f t="shared" ref="V237:V246" si="146">V236+U237</f>
        <v>-1459</v>
      </c>
      <c r="W237" s="143"/>
    </row>
    <row r="238" spans="1:23" ht="15.75" customHeight="1">
      <c r="A238" s="114"/>
      <c r="B238" s="117"/>
      <c r="C238" s="117"/>
      <c r="D238" s="19">
        <f t="shared" si="140"/>
        <v>-1459</v>
      </c>
      <c r="E238" s="106"/>
      <c r="F238" s="107"/>
      <c r="G238" s="26">
        <f t="shared" si="141"/>
        <v>-1459</v>
      </c>
      <c r="H238" s="133"/>
      <c r="I238" s="117"/>
      <c r="J238" s="19">
        <f t="shared" si="142"/>
        <v>-1459</v>
      </c>
      <c r="K238" s="106"/>
      <c r="L238" s="107"/>
      <c r="M238" s="26">
        <f t="shared" si="143"/>
        <v>-1459</v>
      </c>
      <c r="N238" s="117"/>
      <c r="O238" s="117"/>
      <c r="P238" s="38">
        <f t="shared" si="144"/>
        <v>-1459</v>
      </c>
      <c r="Q238" s="106"/>
      <c r="R238" s="107"/>
      <c r="S238" s="26">
        <f t="shared" si="145"/>
        <v>-1459</v>
      </c>
      <c r="T238" s="136"/>
      <c r="U238" s="136"/>
      <c r="V238" s="45">
        <f t="shared" si="146"/>
        <v>-1459</v>
      </c>
      <c r="W238" s="143"/>
    </row>
    <row r="239" spans="1:23" ht="15.75" customHeight="1">
      <c r="A239" s="114"/>
      <c r="B239" s="117"/>
      <c r="C239" s="117"/>
      <c r="D239" s="19">
        <f t="shared" si="140"/>
        <v>-1459</v>
      </c>
      <c r="E239" s="106"/>
      <c r="F239" s="107"/>
      <c r="G239" s="26">
        <f t="shared" si="141"/>
        <v>-1459</v>
      </c>
      <c r="H239" s="133"/>
      <c r="I239" s="117"/>
      <c r="J239" s="19">
        <f t="shared" si="142"/>
        <v>-1459</v>
      </c>
      <c r="K239" s="106"/>
      <c r="L239" s="107"/>
      <c r="M239" s="26">
        <f t="shared" si="143"/>
        <v>-1459</v>
      </c>
      <c r="N239" s="117"/>
      <c r="O239" s="117"/>
      <c r="P239" s="38">
        <f t="shared" si="144"/>
        <v>-1459</v>
      </c>
      <c r="Q239" s="106"/>
      <c r="R239" s="107"/>
      <c r="S239" s="26">
        <f t="shared" si="145"/>
        <v>-1459</v>
      </c>
      <c r="T239" s="136"/>
      <c r="U239" s="136"/>
      <c r="V239" s="45">
        <f t="shared" si="146"/>
        <v>-1459</v>
      </c>
      <c r="W239" s="143"/>
    </row>
    <row r="240" spans="1:23" ht="15.75" customHeight="1">
      <c r="A240" s="114"/>
      <c r="B240" s="117"/>
      <c r="C240" s="117"/>
      <c r="D240" s="19">
        <f t="shared" si="140"/>
        <v>-1459</v>
      </c>
      <c r="E240" s="106"/>
      <c r="F240" s="107"/>
      <c r="G240" s="26">
        <f t="shared" si="141"/>
        <v>-1459</v>
      </c>
      <c r="H240" s="133"/>
      <c r="I240" s="117"/>
      <c r="J240" s="19">
        <f t="shared" si="142"/>
        <v>-1459</v>
      </c>
      <c r="K240" s="106"/>
      <c r="L240" s="107"/>
      <c r="M240" s="26">
        <f t="shared" si="143"/>
        <v>-1459</v>
      </c>
      <c r="N240" s="117"/>
      <c r="O240" s="117"/>
      <c r="P240" s="38">
        <f t="shared" si="144"/>
        <v>-1459</v>
      </c>
      <c r="Q240" s="106"/>
      <c r="R240" s="107"/>
      <c r="S240" s="26">
        <f t="shared" si="145"/>
        <v>-1459</v>
      </c>
      <c r="T240" s="136"/>
      <c r="U240" s="136"/>
      <c r="V240" s="45">
        <f t="shared" si="146"/>
        <v>-1459</v>
      </c>
      <c r="W240" s="143"/>
    </row>
    <row r="241" spans="1:23" ht="15.75" customHeight="1">
      <c r="A241" s="114"/>
      <c r="B241" s="118"/>
      <c r="C241" s="117"/>
      <c r="D241" s="19">
        <f t="shared" si="140"/>
        <v>-1459</v>
      </c>
      <c r="E241" s="106"/>
      <c r="F241" s="107"/>
      <c r="G241" s="26">
        <f t="shared" si="141"/>
        <v>-1459</v>
      </c>
      <c r="H241" s="133"/>
      <c r="I241" s="117"/>
      <c r="J241" s="19">
        <f t="shared" si="142"/>
        <v>-1459</v>
      </c>
      <c r="K241" s="106"/>
      <c r="L241" s="107"/>
      <c r="M241" s="26">
        <f t="shared" si="143"/>
        <v>-1459</v>
      </c>
      <c r="N241" s="117"/>
      <c r="O241" s="117"/>
      <c r="P241" s="38">
        <f t="shared" si="144"/>
        <v>-1459</v>
      </c>
      <c r="Q241" s="106"/>
      <c r="R241" s="107"/>
      <c r="S241" s="26">
        <f t="shared" si="145"/>
        <v>-1459</v>
      </c>
      <c r="T241" s="136"/>
      <c r="U241" s="136"/>
      <c r="V241" s="45">
        <f t="shared" si="146"/>
        <v>-1459</v>
      </c>
      <c r="W241" s="143"/>
    </row>
    <row r="242" spans="1:23" ht="15.75" customHeight="1">
      <c r="A242" s="114"/>
      <c r="B242" s="117"/>
      <c r="C242" s="117"/>
      <c r="D242" s="19">
        <f t="shared" si="140"/>
        <v>-1459</v>
      </c>
      <c r="E242" s="106"/>
      <c r="F242" s="107"/>
      <c r="G242" s="26">
        <f t="shared" si="141"/>
        <v>-1459</v>
      </c>
      <c r="H242" s="133"/>
      <c r="I242" s="117"/>
      <c r="J242" s="19">
        <f t="shared" si="142"/>
        <v>-1459</v>
      </c>
      <c r="K242" s="106"/>
      <c r="L242" s="107"/>
      <c r="M242" s="26">
        <f t="shared" si="143"/>
        <v>-1459</v>
      </c>
      <c r="N242" s="117"/>
      <c r="O242" s="117"/>
      <c r="P242" s="38">
        <f t="shared" si="144"/>
        <v>-1459</v>
      </c>
      <c r="Q242" s="106"/>
      <c r="R242" s="107"/>
      <c r="S242" s="26">
        <f t="shared" si="145"/>
        <v>-1459</v>
      </c>
      <c r="T242" s="136"/>
      <c r="U242" s="136"/>
      <c r="V242" s="45">
        <f t="shared" si="146"/>
        <v>-1459</v>
      </c>
      <c r="W242" s="143"/>
    </row>
    <row r="243" spans="1:23" ht="15.75" customHeight="1">
      <c r="A243" s="114"/>
      <c r="B243" s="117"/>
      <c r="C243" s="117"/>
      <c r="D243" s="19">
        <f t="shared" si="140"/>
        <v>-1459</v>
      </c>
      <c r="E243" s="106"/>
      <c r="F243" s="107"/>
      <c r="G243" s="26">
        <f t="shared" si="141"/>
        <v>-1459</v>
      </c>
      <c r="H243" s="133"/>
      <c r="I243" s="117"/>
      <c r="J243" s="19">
        <f t="shared" si="142"/>
        <v>-1459</v>
      </c>
      <c r="K243" s="106"/>
      <c r="L243" s="107"/>
      <c r="M243" s="26">
        <f t="shared" si="143"/>
        <v>-1459</v>
      </c>
      <c r="N243" s="117"/>
      <c r="O243" s="117"/>
      <c r="P243" s="38">
        <f t="shared" si="144"/>
        <v>-1459</v>
      </c>
      <c r="Q243" s="106"/>
      <c r="R243" s="107"/>
      <c r="S243" s="26">
        <f t="shared" si="145"/>
        <v>-1459</v>
      </c>
      <c r="T243" s="136"/>
      <c r="U243" s="136"/>
      <c r="V243" s="45">
        <f t="shared" si="146"/>
        <v>-1459</v>
      </c>
      <c r="W243" s="143"/>
    </row>
    <row r="244" spans="1:23" ht="15.75" customHeight="1">
      <c r="A244" s="114"/>
      <c r="B244" s="117"/>
      <c r="C244" s="117"/>
      <c r="D244" s="19">
        <f t="shared" si="140"/>
        <v>-1459</v>
      </c>
      <c r="E244" s="106"/>
      <c r="F244" s="107"/>
      <c r="G244" s="26">
        <f t="shared" si="141"/>
        <v>-1459</v>
      </c>
      <c r="H244" s="133"/>
      <c r="I244" s="117"/>
      <c r="J244" s="19">
        <f t="shared" si="142"/>
        <v>-1459</v>
      </c>
      <c r="K244" s="106"/>
      <c r="L244" s="107"/>
      <c r="M244" s="26">
        <f t="shared" si="143"/>
        <v>-1459</v>
      </c>
      <c r="N244" s="117"/>
      <c r="O244" s="117"/>
      <c r="P244" s="38">
        <f t="shared" si="144"/>
        <v>-1459</v>
      </c>
      <c r="Q244" s="106"/>
      <c r="R244" s="107"/>
      <c r="S244" s="26">
        <f t="shared" si="145"/>
        <v>-1459</v>
      </c>
      <c r="T244" s="136"/>
      <c r="U244" s="136"/>
      <c r="V244" s="45">
        <f t="shared" si="146"/>
        <v>-1459</v>
      </c>
      <c r="W244" s="143"/>
    </row>
    <row r="245" spans="1:23" ht="15.75" customHeight="1">
      <c r="A245" s="114"/>
      <c r="B245" s="117"/>
      <c r="C245" s="117"/>
      <c r="D245" s="19">
        <f t="shared" si="140"/>
        <v>-1459</v>
      </c>
      <c r="E245" s="122"/>
      <c r="F245" s="123"/>
      <c r="G245" s="26">
        <f t="shared" si="141"/>
        <v>-1459</v>
      </c>
      <c r="H245" s="133"/>
      <c r="I245" s="117"/>
      <c r="J245" s="19">
        <f t="shared" si="142"/>
        <v>-1459</v>
      </c>
      <c r="K245" s="122"/>
      <c r="L245" s="123"/>
      <c r="M245" s="26">
        <f t="shared" si="143"/>
        <v>-1459</v>
      </c>
      <c r="N245" s="117"/>
      <c r="O245" s="117"/>
      <c r="P245" s="38">
        <f t="shared" si="144"/>
        <v>-1459</v>
      </c>
      <c r="Q245" s="122"/>
      <c r="R245" s="123"/>
      <c r="S245" s="26">
        <f t="shared" si="145"/>
        <v>-1459</v>
      </c>
      <c r="T245" s="136"/>
      <c r="U245" s="136"/>
      <c r="V245" s="45">
        <f t="shared" si="146"/>
        <v>-1459</v>
      </c>
      <c r="W245" s="143"/>
    </row>
    <row r="246" spans="1:23" ht="15.75" customHeight="1">
      <c r="A246" s="114"/>
      <c r="B246" s="128"/>
      <c r="C246" s="128"/>
      <c r="D246" s="29">
        <f t="shared" si="140"/>
        <v>-1459</v>
      </c>
      <c r="E246" s="122"/>
      <c r="F246" s="123"/>
      <c r="G246" s="53">
        <f t="shared" si="141"/>
        <v>-1459</v>
      </c>
      <c r="H246" s="140"/>
      <c r="I246" s="128"/>
      <c r="J246" s="29">
        <f t="shared" si="142"/>
        <v>-1459</v>
      </c>
      <c r="K246" s="122"/>
      <c r="L246" s="123"/>
      <c r="M246" s="39">
        <f t="shared" si="143"/>
        <v>-1459</v>
      </c>
      <c r="N246" s="128"/>
      <c r="O246" s="128"/>
      <c r="P246" s="40">
        <f t="shared" si="144"/>
        <v>-1459</v>
      </c>
      <c r="Q246" s="122"/>
      <c r="R246" s="123"/>
      <c r="S246" s="39">
        <f t="shared" si="145"/>
        <v>-1459</v>
      </c>
      <c r="T246" s="141"/>
      <c r="U246" s="141"/>
      <c r="V246" s="46">
        <f t="shared" si="146"/>
        <v>-1459</v>
      </c>
      <c r="W246" s="143"/>
    </row>
    <row r="247" spans="1:23" ht="15.75" customHeight="1">
      <c r="A247" s="87"/>
      <c r="B247" s="77">
        <f ca="1">IFERROR(__xludf.DUMMYFUNCTION("DATE(VALUE(LEFT($B$2,4)),VALUE(MID($B$2,6,2)),VALUE(RIGHT($B$2,2)))
+ (VALUE(REGEXEXTRACT(INDIRECT(""A""&amp;ROW()+1),""\d+""))-1)*7
+ INT((COLUMN()-COLUMN($B247))/3)
"),46166)</f>
        <v>46166</v>
      </c>
      <c r="C247" s="81"/>
      <c r="D247" s="82"/>
      <c r="E247" s="77">
        <f ca="1">IFERROR(__xludf.DUMMYFUNCTION("DATE(VALUE(LEFT($B$2,4)),VALUE(MID($B$2,6,2)),VALUE(RIGHT($B$2,2)))
+ (VALUE(REGEXEXTRACT(INDIRECT(""A""&amp;ROW()+1),""\d+""))-1)*7
+ INT((COLUMN()-COLUMN($B247))/3)
"),46167)</f>
        <v>46167</v>
      </c>
      <c r="F247" s="81"/>
      <c r="G247" s="82"/>
      <c r="H247" s="77">
        <f ca="1">IFERROR(__xludf.DUMMYFUNCTION("DATE(VALUE(LEFT($B$2,4)),VALUE(MID($B$2,6,2)),VALUE(RIGHT($B$2,2)))
+ (VALUE(REGEXEXTRACT(INDIRECT(""A""&amp;ROW()+1),""\d+""))-1)*7
+ INT((COLUMN()-COLUMN($B247))/3)
"),46168)</f>
        <v>46168</v>
      </c>
      <c r="I247" s="81"/>
      <c r="J247" s="82"/>
      <c r="K247" s="77">
        <f ca="1">IFERROR(__xludf.DUMMYFUNCTION("DATE(VALUE(LEFT($B$2,4)),VALUE(MID($B$2,6,2)),VALUE(RIGHT($B$2,2)))
+ (VALUE(REGEXEXTRACT(INDIRECT(""A""&amp;ROW()+1),""\d+""))-1)*7
+ INT((COLUMN()-COLUMN($B247))/3)
"),46169)</f>
        <v>46169</v>
      </c>
      <c r="L247" s="81"/>
      <c r="M247" s="82"/>
      <c r="N247" s="77">
        <f ca="1">IFERROR(__xludf.DUMMYFUNCTION("DATE(VALUE(LEFT($B$2,4)),VALUE(MID($B$2,6,2)),VALUE(RIGHT($B$2,2)))
+ (VALUE(REGEXEXTRACT(INDIRECT(""A""&amp;ROW()+1),""\d+""))-1)*7
+ INT((COLUMN()-COLUMN($B247))/3)
"),46170)</f>
        <v>46170</v>
      </c>
      <c r="O247" s="81"/>
      <c r="P247" s="82"/>
      <c r="Q247" s="77">
        <f ca="1">IFERROR(__xludf.DUMMYFUNCTION("DATE(VALUE(LEFT($B$2,4)),VALUE(MID($B$2,6,2)),VALUE(RIGHT($B$2,2)))
+ (VALUE(REGEXEXTRACT(INDIRECT(""A""&amp;ROW()+1),""\d+""))-1)*7
+ INT((COLUMN()-COLUMN($B247))/3)
"),46171)</f>
        <v>46171</v>
      </c>
      <c r="R247" s="81"/>
      <c r="S247" s="82"/>
      <c r="T247" s="77">
        <f ca="1">IFERROR(__xludf.DUMMYFUNCTION("DATE(VALUE(LEFT($B$2,4)),VALUE(MID($B$2,6,2)),VALUE(RIGHT($B$2,2)))
+ (VALUE(REGEXEXTRACT(INDIRECT(""A""&amp;ROW()+1),""\d+""))-1)*7
+ INT((COLUMN()-COLUMN($B247))/3)
"),46172)</f>
        <v>46172</v>
      </c>
      <c r="U247" s="81"/>
      <c r="V247" s="82"/>
      <c r="W247" s="143"/>
    </row>
    <row r="248" spans="1:23" ht="15.75" customHeight="1">
      <c r="A248" s="51" t="s">
        <v>98</v>
      </c>
      <c r="B248" s="112"/>
      <c r="C248" s="111"/>
      <c r="D248" s="17">
        <f>V246+C248</f>
        <v>-1459</v>
      </c>
      <c r="E248" s="109"/>
      <c r="F248" s="109"/>
      <c r="G248" s="42">
        <f>D258+F248</f>
        <v>-1459</v>
      </c>
      <c r="H248" s="112"/>
      <c r="I248" s="111"/>
      <c r="J248" s="17">
        <f>G258+I248</f>
        <v>-1459</v>
      </c>
      <c r="K248" s="109"/>
      <c r="L248" s="109"/>
      <c r="M248" s="35">
        <f>J258+L248</f>
        <v>-1459</v>
      </c>
      <c r="N248" s="112"/>
      <c r="O248" s="111"/>
      <c r="P248" s="17">
        <f>M258+O248</f>
        <v>-1459</v>
      </c>
      <c r="Q248" s="109"/>
      <c r="R248" s="109"/>
      <c r="S248" s="35">
        <f>P258+R248</f>
        <v>-1459</v>
      </c>
      <c r="T248" s="112"/>
      <c r="U248" s="111"/>
      <c r="V248" s="48">
        <f>S258+U248</f>
        <v>-1459</v>
      </c>
      <c r="W248" s="143"/>
    </row>
    <row r="249" spans="1:23" ht="15.75" customHeight="1">
      <c r="A249" s="114"/>
      <c r="B249" s="106"/>
      <c r="C249" s="107"/>
      <c r="D249" s="26">
        <f t="shared" ref="D249:D258" si="147">D248+C249</f>
        <v>-1459</v>
      </c>
      <c r="E249" s="117"/>
      <c r="F249" s="117"/>
      <c r="G249" s="19">
        <f t="shared" ref="G249:G258" si="148">G248+F249</f>
        <v>-1459</v>
      </c>
      <c r="H249" s="106"/>
      <c r="I249" s="107"/>
      <c r="J249" s="26">
        <f t="shared" ref="J249:J258" si="149">J248+I249</f>
        <v>-1459</v>
      </c>
      <c r="K249" s="117"/>
      <c r="L249" s="117"/>
      <c r="M249" s="38">
        <f t="shared" ref="M249:M258" si="150">M248+L249</f>
        <v>-1459</v>
      </c>
      <c r="N249" s="106"/>
      <c r="O249" s="107"/>
      <c r="P249" s="26">
        <f t="shared" ref="P249:P258" si="151">P248+O249</f>
        <v>-1459</v>
      </c>
      <c r="Q249" s="117"/>
      <c r="R249" s="117"/>
      <c r="S249" s="38">
        <f t="shared" ref="S249:S258" si="152">S248+R249</f>
        <v>-1459</v>
      </c>
      <c r="T249" s="106"/>
      <c r="U249" s="107"/>
      <c r="V249" s="20">
        <f t="shared" ref="V249:V258" si="153">V248+U249</f>
        <v>-1459</v>
      </c>
      <c r="W249" s="143"/>
    </row>
    <row r="250" spans="1:23" ht="15.75" customHeight="1">
      <c r="A250" s="114"/>
      <c r="B250" s="106"/>
      <c r="C250" s="107"/>
      <c r="D250" s="26">
        <f t="shared" si="147"/>
        <v>-1459</v>
      </c>
      <c r="E250" s="117"/>
      <c r="F250" s="117"/>
      <c r="G250" s="19">
        <f t="shared" si="148"/>
        <v>-1459</v>
      </c>
      <c r="H250" s="106"/>
      <c r="I250" s="107"/>
      <c r="J250" s="26">
        <f t="shared" si="149"/>
        <v>-1459</v>
      </c>
      <c r="K250" s="117"/>
      <c r="L250" s="117"/>
      <c r="M250" s="38">
        <f t="shared" si="150"/>
        <v>-1459</v>
      </c>
      <c r="N250" s="106"/>
      <c r="O250" s="107"/>
      <c r="P250" s="26">
        <f t="shared" si="151"/>
        <v>-1459</v>
      </c>
      <c r="Q250" s="117"/>
      <c r="R250" s="117"/>
      <c r="S250" s="38">
        <f t="shared" si="152"/>
        <v>-1459</v>
      </c>
      <c r="T250" s="106"/>
      <c r="U250" s="116"/>
      <c r="V250" s="20">
        <f t="shared" si="153"/>
        <v>-1459</v>
      </c>
      <c r="W250" s="143"/>
    </row>
    <row r="251" spans="1:23" ht="15.75" customHeight="1">
      <c r="A251" s="114"/>
      <c r="B251" s="106"/>
      <c r="C251" s="107"/>
      <c r="D251" s="26">
        <f t="shared" si="147"/>
        <v>-1459</v>
      </c>
      <c r="E251" s="117"/>
      <c r="F251" s="117"/>
      <c r="G251" s="19">
        <f t="shared" si="148"/>
        <v>-1459</v>
      </c>
      <c r="H251" s="106"/>
      <c r="I251" s="107"/>
      <c r="J251" s="26">
        <f t="shared" si="149"/>
        <v>-1459</v>
      </c>
      <c r="K251" s="117"/>
      <c r="L251" s="117"/>
      <c r="M251" s="38">
        <f t="shared" si="150"/>
        <v>-1459</v>
      </c>
      <c r="N251" s="106"/>
      <c r="O251" s="107"/>
      <c r="P251" s="26">
        <f t="shared" si="151"/>
        <v>-1459</v>
      </c>
      <c r="Q251" s="117"/>
      <c r="R251" s="117"/>
      <c r="S251" s="38">
        <f t="shared" si="152"/>
        <v>-1459</v>
      </c>
      <c r="T251" s="106"/>
      <c r="U251" s="116"/>
      <c r="V251" s="20">
        <f t="shared" si="153"/>
        <v>-1459</v>
      </c>
      <c r="W251" s="143"/>
    </row>
    <row r="252" spans="1:23" ht="15.75" customHeight="1">
      <c r="A252" s="114"/>
      <c r="B252" s="106"/>
      <c r="C252" s="107"/>
      <c r="D252" s="26">
        <f t="shared" si="147"/>
        <v>-1459</v>
      </c>
      <c r="E252" s="117"/>
      <c r="F252" s="117"/>
      <c r="G252" s="19">
        <f t="shared" si="148"/>
        <v>-1459</v>
      </c>
      <c r="H252" s="106"/>
      <c r="I252" s="107"/>
      <c r="J252" s="26">
        <f t="shared" si="149"/>
        <v>-1459</v>
      </c>
      <c r="K252" s="117"/>
      <c r="L252" s="117"/>
      <c r="M252" s="38">
        <f t="shared" si="150"/>
        <v>-1459</v>
      </c>
      <c r="N252" s="106"/>
      <c r="O252" s="107"/>
      <c r="P252" s="26">
        <f t="shared" si="151"/>
        <v>-1459</v>
      </c>
      <c r="Q252" s="117"/>
      <c r="R252" s="117"/>
      <c r="S252" s="38">
        <f t="shared" si="152"/>
        <v>-1459</v>
      </c>
      <c r="T252" s="106"/>
      <c r="U252" s="116"/>
      <c r="V252" s="20">
        <f t="shared" si="153"/>
        <v>-1459</v>
      </c>
      <c r="W252" s="143"/>
    </row>
    <row r="253" spans="1:23" ht="15.75" customHeight="1">
      <c r="A253" s="114"/>
      <c r="B253" s="106"/>
      <c r="C253" s="107"/>
      <c r="D253" s="26">
        <f t="shared" si="147"/>
        <v>-1459</v>
      </c>
      <c r="E253" s="117"/>
      <c r="F253" s="117"/>
      <c r="G253" s="19">
        <f t="shared" si="148"/>
        <v>-1459</v>
      </c>
      <c r="H253" s="106"/>
      <c r="I253" s="107"/>
      <c r="J253" s="26">
        <f t="shared" si="149"/>
        <v>-1459</v>
      </c>
      <c r="K253" s="117"/>
      <c r="L253" s="117"/>
      <c r="M253" s="38">
        <f t="shared" si="150"/>
        <v>-1459</v>
      </c>
      <c r="N253" s="106"/>
      <c r="O253" s="107"/>
      <c r="P253" s="26">
        <f t="shared" si="151"/>
        <v>-1459</v>
      </c>
      <c r="Q253" s="117"/>
      <c r="R253" s="117"/>
      <c r="S253" s="38">
        <f t="shared" si="152"/>
        <v>-1459</v>
      </c>
      <c r="T253" s="106"/>
      <c r="U253" s="116"/>
      <c r="V253" s="20">
        <f t="shared" si="153"/>
        <v>-1459</v>
      </c>
      <c r="W253" s="143"/>
    </row>
    <row r="254" spans="1:23" ht="15.75" customHeight="1">
      <c r="A254" s="114"/>
      <c r="B254" s="106"/>
      <c r="C254" s="107"/>
      <c r="D254" s="26">
        <f t="shared" si="147"/>
        <v>-1459</v>
      </c>
      <c r="E254" s="117"/>
      <c r="F254" s="117"/>
      <c r="G254" s="19">
        <f t="shared" si="148"/>
        <v>-1459</v>
      </c>
      <c r="H254" s="106"/>
      <c r="I254" s="107"/>
      <c r="J254" s="26">
        <f t="shared" si="149"/>
        <v>-1459</v>
      </c>
      <c r="K254" s="117"/>
      <c r="L254" s="117"/>
      <c r="M254" s="38">
        <f t="shared" si="150"/>
        <v>-1459</v>
      </c>
      <c r="N254" s="106"/>
      <c r="O254" s="107"/>
      <c r="P254" s="26">
        <f t="shared" si="151"/>
        <v>-1459</v>
      </c>
      <c r="Q254" s="117"/>
      <c r="R254" s="117"/>
      <c r="S254" s="38">
        <f t="shared" si="152"/>
        <v>-1459</v>
      </c>
      <c r="T254" s="106"/>
      <c r="U254" s="116"/>
      <c r="V254" s="20">
        <f t="shared" si="153"/>
        <v>-1459</v>
      </c>
      <c r="W254" s="143"/>
    </row>
    <row r="255" spans="1:23" ht="15.75" customHeight="1">
      <c r="A255" s="114"/>
      <c r="B255" s="106"/>
      <c r="C255" s="107"/>
      <c r="D255" s="26">
        <f t="shared" si="147"/>
        <v>-1459</v>
      </c>
      <c r="E255" s="117"/>
      <c r="F255" s="117"/>
      <c r="G255" s="19">
        <f t="shared" si="148"/>
        <v>-1459</v>
      </c>
      <c r="H255" s="106"/>
      <c r="I255" s="107"/>
      <c r="J255" s="26">
        <f t="shared" si="149"/>
        <v>-1459</v>
      </c>
      <c r="K255" s="117"/>
      <c r="L255" s="117"/>
      <c r="M255" s="38">
        <f t="shared" si="150"/>
        <v>-1459</v>
      </c>
      <c r="N255" s="106"/>
      <c r="O255" s="107"/>
      <c r="P255" s="26">
        <f t="shared" si="151"/>
        <v>-1459</v>
      </c>
      <c r="Q255" s="117"/>
      <c r="R255" s="117"/>
      <c r="S255" s="38">
        <f t="shared" si="152"/>
        <v>-1459</v>
      </c>
      <c r="T255" s="106"/>
      <c r="U255" s="116"/>
      <c r="V255" s="20">
        <f t="shared" si="153"/>
        <v>-1459</v>
      </c>
      <c r="W255" s="143"/>
    </row>
    <row r="256" spans="1:23" ht="15.75" customHeight="1">
      <c r="A256" s="114"/>
      <c r="B256" s="122"/>
      <c r="C256" s="123"/>
      <c r="D256" s="26">
        <f t="shared" si="147"/>
        <v>-1459</v>
      </c>
      <c r="E256" s="117"/>
      <c r="F256" s="117"/>
      <c r="G256" s="19">
        <f t="shared" si="148"/>
        <v>-1459</v>
      </c>
      <c r="H256" s="122"/>
      <c r="I256" s="123"/>
      <c r="J256" s="26">
        <f t="shared" si="149"/>
        <v>-1459</v>
      </c>
      <c r="K256" s="117"/>
      <c r="L256" s="117"/>
      <c r="M256" s="38">
        <f t="shared" si="150"/>
        <v>-1459</v>
      </c>
      <c r="N256" s="106"/>
      <c r="O256" s="107"/>
      <c r="P256" s="26">
        <f t="shared" si="151"/>
        <v>-1459</v>
      </c>
      <c r="Q256" s="117"/>
      <c r="R256" s="117"/>
      <c r="S256" s="38">
        <f t="shared" si="152"/>
        <v>-1459</v>
      </c>
      <c r="T256" s="106"/>
      <c r="U256" s="116"/>
      <c r="V256" s="20">
        <f t="shared" si="153"/>
        <v>-1459</v>
      </c>
      <c r="W256" s="143"/>
    </row>
    <row r="257" spans="1:23" ht="15.75" customHeight="1">
      <c r="A257" s="114"/>
      <c r="B257" s="122"/>
      <c r="C257" s="123"/>
      <c r="D257" s="26">
        <f t="shared" si="147"/>
        <v>-1459</v>
      </c>
      <c r="E257" s="117"/>
      <c r="F257" s="117"/>
      <c r="G257" s="19">
        <f t="shared" si="148"/>
        <v>-1459</v>
      </c>
      <c r="H257" s="122"/>
      <c r="I257" s="123"/>
      <c r="J257" s="26">
        <f t="shared" si="149"/>
        <v>-1459</v>
      </c>
      <c r="K257" s="117"/>
      <c r="L257" s="117"/>
      <c r="M257" s="38">
        <f t="shared" si="150"/>
        <v>-1459</v>
      </c>
      <c r="N257" s="122"/>
      <c r="O257" s="123"/>
      <c r="P257" s="26">
        <f t="shared" si="151"/>
        <v>-1459</v>
      </c>
      <c r="Q257" s="117"/>
      <c r="R257" s="117"/>
      <c r="S257" s="38">
        <f t="shared" si="152"/>
        <v>-1459</v>
      </c>
      <c r="T257" s="122"/>
      <c r="U257" s="124"/>
      <c r="V257" s="20">
        <f t="shared" si="153"/>
        <v>-1459</v>
      </c>
      <c r="W257" s="143"/>
    </row>
    <row r="258" spans="1:23" ht="15.75" customHeight="1">
      <c r="A258" s="114"/>
      <c r="B258" s="122"/>
      <c r="C258" s="123"/>
      <c r="D258" s="39">
        <f t="shared" si="147"/>
        <v>-1459</v>
      </c>
      <c r="E258" s="128"/>
      <c r="F258" s="128"/>
      <c r="G258" s="29">
        <f t="shared" si="148"/>
        <v>-1459</v>
      </c>
      <c r="H258" s="122"/>
      <c r="I258" s="123"/>
      <c r="J258" s="39">
        <f t="shared" si="149"/>
        <v>-1459</v>
      </c>
      <c r="K258" s="128"/>
      <c r="L258" s="128"/>
      <c r="M258" s="40">
        <f t="shared" si="150"/>
        <v>-1459</v>
      </c>
      <c r="N258" s="122"/>
      <c r="O258" s="123"/>
      <c r="P258" s="39">
        <f t="shared" si="151"/>
        <v>-1459</v>
      </c>
      <c r="Q258" s="128"/>
      <c r="R258" s="128"/>
      <c r="S258" s="40">
        <f t="shared" si="152"/>
        <v>-1459</v>
      </c>
      <c r="T258" s="122"/>
      <c r="U258" s="123"/>
      <c r="V258" s="49">
        <f t="shared" si="153"/>
        <v>-1459</v>
      </c>
      <c r="W258" s="143"/>
    </row>
    <row r="259" spans="1:23" ht="15.75" customHeight="1">
      <c r="A259" s="87"/>
      <c r="B259" s="77">
        <f ca="1">IFERROR(__xludf.DUMMYFUNCTION("DATE(VALUE(LEFT($B$2,4)),VALUE(MID($B$2,6,2)),VALUE(RIGHT($B$2,2)))
+ (VALUE(REGEXEXTRACT(INDIRECT(""A""&amp;ROW()+1),""\d+""))-1)*7
+ INT((COLUMN()-COLUMN($B259))/3)
"),46173)</f>
        <v>46173</v>
      </c>
      <c r="C259" s="81"/>
      <c r="D259" s="82"/>
      <c r="E259" s="77">
        <f ca="1">IFERROR(__xludf.DUMMYFUNCTION("DATE(VALUE(LEFT($B$2,4)),VALUE(MID($B$2,6,2)),VALUE(RIGHT($B$2,2)))
+ (VALUE(REGEXEXTRACT(INDIRECT(""A""&amp;ROW()+1),""\d+""))-1)*7
+ INT((COLUMN()-COLUMN($B259))/3)
"),46174)</f>
        <v>46174</v>
      </c>
      <c r="F259" s="81"/>
      <c r="G259" s="82"/>
      <c r="H259" s="77">
        <f ca="1">IFERROR(__xludf.DUMMYFUNCTION("DATE(VALUE(LEFT($B$2,4)),VALUE(MID($B$2,6,2)),VALUE(RIGHT($B$2,2)))
+ (VALUE(REGEXEXTRACT(INDIRECT(""A""&amp;ROW()+1),""\d+""))-1)*7
+ INT((COLUMN()-COLUMN($B259))/3)
"),46175)</f>
        <v>46175</v>
      </c>
      <c r="I259" s="81"/>
      <c r="J259" s="82"/>
      <c r="K259" s="77">
        <f ca="1">IFERROR(__xludf.DUMMYFUNCTION("DATE(VALUE(LEFT($B$2,4)),VALUE(MID($B$2,6,2)),VALUE(RIGHT($B$2,2)))
+ (VALUE(REGEXEXTRACT(INDIRECT(""A""&amp;ROW()+1),""\d+""))-1)*7
+ INT((COLUMN()-COLUMN($B259))/3)
"),46176)</f>
        <v>46176</v>
      </c>
      <c r="L259" s="81"/>
      <c r="M259" s="82"/>
      <c r="N259" s="77">
        <f ca="1">IFERROR(__xludf.DUMMYFUNCTION("DATE(VALUE(LEFT($B$2,4)),VALUE(MID($B$2,6,2)),VALUE(RIGHT($B$2,2)))
+ (VALUE(REGEXEXTRACT(INDIRECT(""A""&amp;ROW()+1),""\d+""))-1)*7
+ INT((COLUMN()-COLUMN($B259))/3)
"),46177)</f>
        <v>46177</v>
      </c>
      <c r="O259" s="81"/>
      <c r="P259" s="82"/>
      <c r="Q259" s="77">
        <f ca="1">IFERROR(__xludf.DUMMYFUNCTION("DATE(VALUE(LEFT($B$2,4)),VALUE(MID($B$2,6,2)),VALUE(RIGHT($B$2,2)))
+ (VALUE(REGEXEXTRACT(INDIRECT(""A""&amp;ROW()+1),""\d+""))-1)*7
+ INT((COLUMN()-COLUMN($B259))/3)
"),46178)</f>
        <v>46178</v>
      </c>
      <c r="R259" s="81"/>
      <c r="S259" s="82"/>
      <c r="T259" s="77">
        <f ca="1">IFERROR(__xludf.DUMMYFUNCTION("DATE(VALUE(LEFT($B$2,4)),VALUE(MID($B$2,6,2)),VALUE(RIGHT($B$2,2)))
+ (VALUE(REGEXEXTRACT(INDIRECT(""A""&amp;ROW()+1),""\d+""))-1)*7
+ INT((COLUMN()-COLUMN($B259))/3)
"),46179)</f>
        <v>46179</v>
      </c>
      <c r="U259" s="81"/>
      <c r="V259" s="82"/>
      <c r="W259" s="52" t="s">
        <v>20</v>
      </c>
    </row>
    <row r="260" spans="1:23" ht="15.75" customHeight="1">
      <c r="A260" s="47" t="s">
        <v>106</v>
      </c>
      <c r="B260" s="109"/>
      <c r="C260" s="109"/>
      <c r="D260" s="42">
        <f>V258+C260</f>
        <v>-1459</v>
      </c>
      <c r="E260" s="112"/>
      <c r="F260" s="111"/>
      <c r="G260" s="48">
        <f>D270+F260</f>
        <v>-1459</v>
      </c>
      <c r="H260" s="149"/>
      <c r="I260" s="150"/>
      <c r="J260" s="54">
        <f>G270+I260</f>
        <v>-1459</v>
      </c>
      <c r="K260" s="110"/>
      <c r="L260" s="111"/>
      <c r="M260" s="18">
        <f>J270+L260</f>
        <v>-1459</v>
      </c>
      <c r="N260" s="113"/>
      <c r="O260" s="109"/>
      <c r="P260" s="35">
        <f>M270+O260</f>
        <v>-1459</v>
      </c>
      <c r="Q260" s="112"/>
      <c r="R260" s="111"/>
      <c r="S260" s="18">
        <f>P270+R260</f>
        <v>-1459</v>
      </c>
      <c r="T260" s="113"/>
      <c r="U260" s="109"/>
      <c r="V260" s="50">
        <f>S270+U260</f>
        <v>-1459</v>
      </c>
      <c r="W260" s="172"/>
    </row>
    <row r="261" spans="1:23" ht="15.75" customHeight="1">
      <c r="A261" s="114"/>
      <c r="B261" s="117"/>
      <c r="C261" s="117"/>
      <c r="D261" s="19">
        <f t="shared" ref="D261:D270" si="154">D260+C261</f>
        <v>-1459</v>
      </c>
      <c r="E261" s="116"/>
      <c r="F261" s="107"/>
      <c r="G261" s="20">
        <f t="shared" ref="G261:G270" si="155">G260+F261</f>
        <v>-1459</v>
      </c>
      <c r="H261" s="118"/>
      <c r="I261" s="117"/>
      <c r="J261" s="19">
        <f t="shared" ref="J261:J270" si="156">J260+I261</f>
        <v>-1459</v>
      </c>
      <c r="K261" s="116"/>
      <c r="L261" s="107"/>
      <c r="M261" s="26">
        <f t="shared" ref="M261:M270" si="157">M260+L261</f>
        <v>-1459</v>
      </c>
      <c r="N261" s="118"/>
      <c r="O261" s="117"/>
      <c r="P261" s="38">
        <f t="shared" ref="P261:P270" si="158">P260+O261</f>
        <v>-1459</v>
      </c>
      <c r="Q261" s="106"/>
      <c r="R261" s="107"/>
      <c r="S261" s="26">
        <f t="shared" ref="S261:S270" si="159">S260+R261</f>
        <v>-1459</v>
      </c>
      <c r="T261" s="136"/>
      <c r="U261" s="136"/>
      <c r="V261" s="45">
        <f t="shared" ref="V261:V270" si="160">V260+U261</f>
        <v>-1459</v>
      </c>
      <c r="W261" s="143"/>
    </row>
    <row r="262" spans="1:23" ht="15.75" customHeight="1">
      <c r="A262" s="114"/>
      <c r="B262" s="117"/>
      <c r="C262" s="117"/>
      <c r="D262" s="19">
        <f t="shared" si="154"/>
        <v>-1459</v>
      </c>
      <c r="E262" s="116"/>
      <c r="F262" s="107"/>
      <c r="G262" s="20">
        <f t="shared" si="155"/>
        <v>-1459</v>
      </c>
      <c r="H262" s="118"/>
      <c r="I262" s="117"/>
      <c r="J262" s="19">
        <f t="shared" si="156"/>
        <v>-1459</v>
      </c>
      <c r="K262" s="116"/>
      <c r="L262" s="107"/>
      <c r="M262" s="26">
        <f t="shared" si="157"/>
        <v>-1459</v>
      </c>
      <c r="N262" s="117"/>
      <c r="O262" s="117"/>
      <c r="P262" s="38">
        <f t="shared" si="158"/>
        <v>-1459</v>
      </c>
      <c r="Q262" s="106"/>
      <c r="R262" s="107"/>
      <c r="S262" s="26">
        <f t="shared" si="159"/>
        <v>-1459</v>
      </c>
      <c r="T262" s="136"/>
      <c r="U262" s="136"/>
      <c r="V262" s="45">
        <f t="shared" si="160"/>
        <v>-1459</v>
      </c>
      <c r="W262" s="143"/>
    </row>
    <row r="263" spans="1:23" ht="15.75" customHeight="1">
      <c r="A263" s="114"/>
      <c r="B263" s="117"/>
      <c r="C263" s="117"/>
      <c r="D263" s="19">
        <f t="shared" si="154"/>
        <v>-1459</v>
      </c>
      <c r="E263" s="116"/>
      <c r="F263" s="107"/>
      <c r="G263" s="20">
        <f t="shared" si="155"/>
        <v>-1459</v>
      </c>
      <c r="H263" s="118"/>
      <c r="I263" s="117"/>
      <c r="J263" s="19">
        <f t="shared" si="156"/>
        <v>-1459</v>
      </c>
      <c r="K263" s="116"/>
      <c r="L263" s="107"/>
      <c r="M263" s="26">
        <f t="shared" si="157"/>
        <v>-1459</v>
      </c>
      <c r="N263" s="117"/>
      <c r="O263" s="117"/>
      <c r="P263" s="38">
        <f t="shared" si="158"/>
        <v>-1459</v>
      </c>
      <c r="Q263" s="106"/>
      <c r="R263" s="107"/>
      <c r="S263" s="26">
        <f t="shared" si="159"/>
        <v>-1459</v>
      </c>
      <c r="T263" s="136"/>
      <c r="U263" s="136"/>
      <c r="V263" s="45">
        <f t="shared" si="160"/>
        <v>-1459</v>
      </c>
      <c r="W263" s="143"/>
    </row>
    <row r="264" spans="1:23" ht="15.75" customHeight="1">
      <c r="A264" s="114"/>
      <c r="B264" s="117"/>
      <c r="C264" s="117"/>
      <c r="D264" s="19">
        <f t="shared" si="154"/>
        <v>-1459</v>
      </c>
      <c r="E264" s="116"/>
      <c r="F264" s="107"/>
      <c r="G264" s="20">
        <f t="shared" si="155"/>
        <v>-1459</v>
      </c>
      <c r="H264" s="118"/>
      <c r="I264" s="117"/>
      <c r="J264" s="19">
        <f t="shared" si="156"/>
        <v>-1459</v>
      </c>
      <c r="K264" s="116"/>
      <c r="L264" s="107"/>
      <c r="M264" s="26">
        <f t="shared" si="157"/>
        <v>-1459</v>
      </c>
      <c r="N264" s="117"/>
      <c r="O264" s="117"/>
      <c r="P264" s="38">
        <f t="shared" si="158"/>
        <v>-1459</v>
      </c>
      <c r="Q264" s="106"/>
      <c r="R264" s="107"/>
      <c r="S264" s="26">
        <f t="shared" si="159"/>
        <v>-1459</v>
      </c>
      <c r="T264" s="136"/>
      <c r="U264" s="136"/>
      <c r="V264" s="45">
        <f t="shared" si="160"/>
        <v>-1459</v>
      </c>
      <c r="W264" s="143"/>
    </row>
    <row r="265" spans="1:23" ht="15.75" customHeight="1">
      <c r="A265" s="114"/>
      <c r="B265" s="118"/>
      <c r="C265" s="117"/>
      <c r="D265" s="19">
        <f t="shared" si="154"/>
        <v>-1459</v>
      </c>
      <c r="E265" s="116"/>
      <c r="F265" s="107"/>
      <c r="G265" s="20">
        <f t="shared" si="155"/>
        <v>-1459</v>
      </c>
      <c r="H265" s="118"/>
      <c r="I265" s="117"/>
      <c r="J265" s="19">
        <f t="shared" si="156"/>
        <v>-1459</v>
      </c>
      <c r="K265" s="116"/>
      <c r="L265" s="107"/>
      <c r="M265" s="26">
        <f t="shared" si="157"/>
        <v>-1459</v>
      </c>
      <c r="N265" s="117"/>
      <c r="O265" s="117"/>
      <c r="P265" s="38">
        <f t="shared" si="158"/>
        <v>-1459</v>
      </c>
      <c r="Q265" s="106"/>
      <c r="R265" s="107"/>
      <c r="S265" s="26">
        <f t="shared" si="159"/>
        <v>-1459</v>
      </c>
      <c r="T265" s="136"/>
      <c r="U265" s="136"/>
      <c r="V265" s="45">
        <f t="shared" si="160"/>
        <v>-1459</v>
      </c>
      <c r="W265" s="143"/>
    </row>
    <row r="266" spans="1:23" ht="15.75" customHeight="1">
      <c r="A266" s="114"/>
      <c r="B266" s="117"/>
      <c r="C266" s="117"/>
      <c r="D266" s="19">
        <f t="shared" si="154"/>
        <v>-1459</v>
      </c>
      <c r="E266" s="106"/>
      <c r="F266" s="107"/>
      <c r="G266" s="20">
        <f t="shared" si="155"/>
        <v>-1459</v>
      </c>
      <c r="H266" s="118"/>
      <c r="I266" s="117"/>
      <c r="J266" s="19">
        <f t="shared" si="156"/>
        <v>-1459</v>
      </c>
      <c r="K266" s="116"/>
      <c r="L266" s="107"/>
      <c r="M266" s="26">
        <f t="shared" si="157"/>
        <v>-1459</v>
      </c>
      <c r="N266" s="117"/>
      <c r="O266" s="117"/>
      <c r="P266" s="38">
        <f t="shared" si="158"/>
        <v>-1459</v>
      </c>
      <c r="Q266" s="106"/>
      <c r="R266" s="107"/>
      <c r="S266" s="26">
        <f t="shared" si="159"/>
        <v>-1459</v>
      </c>
      <c r="T266" s="136"/>
      <c r="U266" s="136"/>
      <c r="V266" s="45">
        <f t="shared" si="160"/>
        <v>-1459</v>
      </c>
      <c r="W266" s="143"/>
    </row>
    <row r="267" spans="1:23" ht="15.75" customHeight="1">
      <c r="A267" s="114"/>
      <c r="B267" s="117"/>
      <c r="C267" s="117"/>
      <c r="D267" s="19">
        <f t="shared" si="154"/>
        <v>-1459</v>
      </c>
      <c r="E267" s="106"/>
      <c r="F267" s="107"/>
      <c r="G267" s="20">
        <f t="shared" si="155"/>
        <v>-1459</v>
      </c>
      <c r="H267" s="118"/>
      <c r="I267" s="117"/>
      <c r="J267" s="19">
        <f t="shared" si="156"/>
        <v>-1459</v>
      </c>
      <c r="K267" s="116"/>
      <c r="L267" s="107"/>
      <c r="M267" s="26">
        <f t="shared" si="157"/>
        <v>-1459</v>
      </c>
      <c r="N267" s="117"/>
      <c r="O267" s="117"/>
      <c r="P267" s="38">
        <f t="shared" si="158"/>
        <v>-1459</v>
      </c>
      <c r="Q267" s="106"/>
      <c r="R267" s="107"/>
      <c r="S267" s="26">
        <f t="shared" si="159"/>
        <v>-1459</v>
      </c>
      <c r="T267" s="136"/>
      <c r="U267" s="136"/>
      <c r="V267" s="45">
        <f t="shared" si="160"/>
        <v>-1459</v>
      </c>
      <c r="W267" s="143"/>
    </row>
    <row r="268" spans="1:23" ht="15.75" customHeight="1">
      <c r="A268" s="114"/>
      <c r="B268" s="117"/>
      <c r="C268" s="117"/>
      <c r="D268" s="19">
        <f t="shared" si="154"/>
        <v>-1459</v>
      </c>
      <c r="E268" s="106"/>
      <c r="F268" s="107"/>
      <c r="G268" s="20">
        <f t="shared" si="155"/>
        <v>-1459</v>
      </c>
      <c r="H268" s="118"/>
      <c r="I268" s="117"/>
      <c r="J268" s="19">
        <f t="shared" si="156"/>
        <v>-1459</v>
      </c>
      <c r="K268" s="116"/>
      <c r="L268" s="107"/>
      <c r="M268" s="26">
        <f t="shared" si="157"/>
        <v>-1459</v>
      </c>
      <c r="N268" s="117"/>
      <c r="O268" s="117"/>
      <c r="P268" s="38">
        <f t="shared" si="158"/>
        <v>-1459</v>
      </c>
      <c r="Q268" s="106"/>
      <c r="R268" s="107"/>
      <c r="S268" s="26">
        <f t="shared" si="159"/>
        <v>-1459</v>
      </c>
      <c r="T268" s="136"/>
      <c r="U268" s="136"/>
      <c r="V268" s="45">
        <f t="shared" si="160"/>
        <v>-1459</v>
      </c>
      <c r="W268" s="143"/>
    </row>
    <row r="269" spans="1:23" ht="15.75" customHeight="1">
      <c r="A269" s="114"/>
      <c r="B269" s="117"/>
      <c r="C269" s="117"/>
      <c r="D269" s="19">
        <f t="shared" si="154"/>
        <v>-1459</v>
      </c>
      <c r="E269" s="122"/>
      <c r="F269" s="123"/>
      <c r="G269" s="20">
        <f t="shared" si="155"/>
        <v>-1459</v>
      </c>
      <c r="H269" s="118"/>
      <c r="I269" s="117"/>
      <c r="J269" s="19">
        <f t="shared" si="156"/>
        <v>-1459</v>
      </c>
      <c r="K269" s="124"/>
      <c r="L269" s="123"/>
      <c r="M269" s="26">
        <f t="shared" si="157"/>
        <v>-1459</v>
      </c>
      <c r="N269" s="117"/>
      <c r="O269" s="117"/>
      <c r="P269" s="38">
        <f t="shared" si="158"/>
        <v>-1459</v>
      </c>
      <c r="Q269" s="122"/>
      <c r="R269" s="123"/>
      <c r="S269" s="26">
        <f t="shared" si="159"/>
        <v>-1459</v>
      </c>
      <c r="T269" s="136"/>
      <c r="U269" s="136"/>
      <c r="V269" s="45">
        <f t="shared" si="160"/>
        <v>-1459</v>
      </c>
      <c r="W269" s="143"/>
    </row>
    <row r="270" spans="1:23" ht="15.75" customHeight="1">
      <c r="A270" s="114"/>
      <c r="B270" s="128"/>
      <c r="C270" s="128"/>
      <c r="D270" s="29">
        <f t="shared" si="154"/>
        <v>-1459</v>
      </c>
      <c r="E270" s="122"/>
      <c r="F270" s="123"/>
      <c r="G270" s="49">
        <f t="shared" si="155"/>
        <v>-1459</v>
      </c>
      <c r="H270" s="154"/>
      <c r="I270" s="128"/>
      <c r="J270" s="29">
        <f t="shared" si="156"/>
        <v>-1459</v>
      </c>
      <c r="K270" s="124"/>
      <c r="L270" s="123"/>
      <c r="M270" s="39">
        <f t="shared" si="157"/>
        <v>-1459</v>
      </c>
      <c r="N270" s="128"/>
      <c r="O270" s="128"/>
      <c r="P270" s="40">
        <f t="shared" si="158"/>
        <v>-1459</v>
      </c>
      <c r="Q270" s="122"/>
      <c r="R270" s="123"/>
      <c r="S270" s="39">
        <f t="shared" si="159"/>
        <v>-1459</v>
      </c>
      <c r="T270" s="141"/>
      <c r="U270" s="141"/>
      <c r="V270" s="46">
        <f t="shared" si="160"/>
        <v>-1459</v>
      </c>
      <c r="W270" s="143"/>
    </row>
    <row r="271" spans="1:23" ht="15.75" customHeight="1">
      <c r="A271" s="87"/>
      <c r="B271" s="77">
        <f ca="1">IFERROR(__xludf.DUMMYFUNCTION("DATE(VALUE(LEFT($B$2,4)),VALUE(MID($B$2,6,2)),VALUE(RIGHT($B$2,2)))
+ (VALUE(REGEXEXTRACT(INDIRECT(""A""&amp;ROW()+1),""\d+""))-1)*7
+ INT((COLUMN()-COLUMN($B271))/3)
"),46180)</f>
        <v>46180</v>
      </c>
      <c r="C271" s="81"/>
      <c r="D271" s="82"/>
      <c r="E271" s="77">
        <f ca="1">IFERROR(__xludf.DUMMYFUNCTION("DATE(VALUE(LEFT($B$2,4)),VALUE(MID($B$2,6,2)),VALUE(RIGHT($B$2,2)))
+ (VALUE(REGEXEXTRACT(INDIRECT(""A""&amp;ROW()+1),""\d+""))-1)*7
+ INT((COLUMN()-COLUMN($B271))/3)
"),46181)</f>
        <v>46181</v>
      </c>
      <c r="F271" s="81"/>
      <c r="G271" s="82"/>
      <c r="H271" s="77">
        <f ca="1">IFERROR(__xludf.DUMMYFUNCTION("DATE(VALUE(LEFT($B$2,4)),VALUE(MID($B$2,6,2)),VALUE(RIGHT($B$2,2)))
+ (VALUE(REGEXEXTRACT(INDIRECT(""A""&amp;ROW()+1),""\d+""))-1)*7
+ INT((COLUMN()-COLUMN($B271))/3)
"),46182)</f>
        <v>46182</v>
      </c>
      <c r="I271" s="81"/>
      <c r="J271" s="82"/>
      <c r="K271" s="77">
        <f ca="1">IFERROR(__xludf.DUMMYFUNCTION("DATE(VALUE(LEFT($B$2,4)),VALUE(MID($B$2,6,2)),VALUE(RIGHT($B$2,2)))
+ (VALUE(REGEXEXTRACT(INDIRECT(""A""&amp;ROW()+1),""\d+""))-1)*7
+ INT((COLUMN()-COLUMN($B271))/3)
"),46183)</f>
        <v>46183</v>
      </c>
      <c r="L271" s="81"/>
      <c r="M271" s="82"/>
      <c r="N271" s="77">
        <f ca="1">IFERROR(__xludf.DUMMYFUNCTION("DATE(VALUE(LEFT($B$2,4)),VALUE(MID($B$2,6,2)),VALUE(RIGHT($B$2,2)))
+ (VALUE(REGEXEXTRACT(INDIRECT(""A""&amp;ROW()+1),""\d+""))-1)*7
+ INT((COLUMN()-COLUMN($B271))/3)
"),46184)</f>
        <v>46184</v>
      </c>
      <c r="O271" s="81"/>
      <c r="P271" s="82"/>
      <c r="Q271" s="77">
        <f ca="1">IFERROR(__xludf.DUMMYFUNCTION("DATE(VALUE(LEFT($B$2,4)),VALUE(MID($B$2,6,2)),VALUE(RIGHT($B$2,2)))
+ (VALUE(REGEXEXTRACT(INDIRECT(""A""&amp;ROW()+1),""\d+""))-1)*7
+ INT((COLUMN()-COLUMN($B271))/3)
"),46185)</f>
        <v>46185</v>
      </c>
      <c r="R271" s="81"/>
      <c r="S271" s="82"/>
      <c r="T271" s="77">
        <f ca="1">IFERROR(__xludf.DUMMYFUNCTION("DATE(VALUE(LEFT($B$2,4)),VALUE(MID($B$2,6,2)),VALUE(RIGHT($B$2,2)))
+ (VALUE(REGEXEXTRACT(INDIRECT(""A""&amp;ROW()+1),""\d+""))-1)*7
+ INT((COLUMN()-COLUMN($B271))/3)
"),46186)</f>
        <v>46186</v>
      </c>
      <c r="U271" s="81"/>
      <c r="V271" s="82"/>
      <c r="W271" s="143"/>
    </row>
    <row r="272" spans="1:23" ht="15.75" customHeight="1">
      <c r="A272" s="51" t="s">
        <v>118</v>
      </c>
      <c r="B272" s="112"/>
      <c r="C272" s="111"/>
      <c r="D272" s="17">
        <f>V270+C272</f>
        <v>-1459</v>
      </c>
      <c r="E272" s="109"/>
      <c r="F272" s="109"/>
      <c r="G272" s="50">
        <f>D282+F272</f>
        <v>-1459</v>
      </c>
      <c r="H272" s="112"/>
      <c r="I272" s="111"/>
      <c r="J272" s="17">
        <f>G282+I272</f>
        <v>-1459</v>
      </c>
      <c r="K272" s="132"/>
      <c r="L272" s="109"/>
      <c r="M272" s="56">
        <f>J282+L272</f>
        <v>-1459</v>
      </c>
      <c r="N272" s="110"/>
      <c r="O272" s="111"/>
      <c r="P272" s="17">
        <f>M282+O272</f>
        <v>-1459</v>
      </c>
      <c r="Q272" s="109"/>
      <c r="R272" s="109"/>
      <c r="S272" s="35">
        <f>P282+R272</f>
        <v>-1459</v>
      </c>
      <c r="T272" s="112"/>
      <c r="U272" s="111"/>
      <c r="V272" s="48">
        <f>S282+U272</f>
        <v>-1459</v>
      </c>
      <c r="W272" s="143"/>
    </row>
    <row r="273" spans="1:23" ht="15.75" customHeight="1">
      <c r="A273" s="114"/>
      <c r="B273" s="106"/>
      <c r="C273" s="107"/>
      <c r="D273" s="26">
        <f t="shared" ref="D273:D282" si="161">D272+C273</f>
        <v>-1459</v>
      </c>
      <c r="E273" s="117"/>
      <c r="F273" s="117"/>
      <c r="G273" s="45">
        <f t="shared" ref="G273:G282" si="162">G272+F273</f>
        <v>-1459</v>
      </c>
      <c r="H273" s="106"/>
      <c r="I273" s="107"/>
      <c r="J273" s="26">
        <f t="shared" ref="J273:J282" si="163">J272+I273</f>
        <v>-1459</v>
      </c>
      <c r="K273" s="133"/>
      <c r="L273" s="117"/>
      <c r="M273" s="57">
        <f t="shared" ref="M273:M282" si="164">M272+L273</f>
        <v>-1459</v>
      </c>
      <c r="N273" s="116"/>
      <c r="O273" s="107"/>
      <c r="P273" s="26">
        <f t="shared" ref="P273:P282" si="165">P272+O273</f>
        <v>-1459</v>
      </c>
      <c r="Q273" s="117"/>
      <c r="R273" s="117"/>
      <c r="S273" s="19">
        <f t="shared" ref="S273:S282" si="166">S272+R273</f>
        <v>-1459</v>
      </c>
      <c r="T273" s="116"/>
      <c r="U273" s="107"/>
      <c r="V273" s="20">
        <f t="shared" ref="V273:V282" si="167">V272+U273</f>
        <v>-1459</v>
      </c>
      <c r="W273" s="143"/>
    </row>
    <row r="274" spans="1:23" ht="15.75" customHeight="1">
      <c r="A274" s="114"/>
      <c r="B274" s="106"/>
      <c r="C274" s="107"/>
      <c r="D274" s="26">
        <f t="shared" si="161"/>
        <v>-1459</v>
      </c>
      <c r="E274" s="117"/>
      <c r="F274" s="117"/>
      <c r="G274" s="45">
        <f t="shared" si="162"/>
        <v>-1459</v>
      </c>
      <c r="H274" s="106"/>
      <c r="I274" s="107"/>
      <c r="J274" s="26">
        <f t="shared" si="163"/>
        <v>-1459</v>
      </c>
      <c r="K274" s="133"/>
      <c r="L274" s="117"/>
      <c r="M274" s="57">
        <f t="shared" si="164"/>
        <v>-1459</v>
      </c>
      <c r="N274" s="116"/>
      <c r="O274" s="107"/>
      <c r="P274" s="26">
        <f t="shared" si="165"/>
        <v>-1459</v>
      </c>
      <c r="Q274" s="117"/>
      <c r="R274" s="117"/>
      <c r="S274" s="19">
        <f t="shared" si="166"/>
        <v>-1459</v>
      </c>
      <c r="T274" s="116"/>
      <c r="U274" s="116"/>
      <c r="V274" s="20">
        <f t="shared" si="167"/>
        <v>-1459</v>
      </c>
      <c r="W274" s="143"/>
    </row>
    <row r="275" spans="1:23" ht="15.75" customHeight="1">
      <c r="A275" s="114"/>
      <c r="B275" s="106"/>
      <c r="C275" s="107"/>
      <c r="D275" s="26">
        <f t="shared" si="161"/>
        <v>-1459</v>
      </c>
      <c r="E275" s="117"/>
      <c r="F275" s="117"/>
      <c r="G275" s="45">
        <f t="shared" si="162"/>
        <v>-1459</v>
      </c>
      <c r="H275" s="106"/>
      <c r="I275" s="107"/>
      <c r="J275" s="26">
        <f t="shared" si="163"/>
        <v>-1459</v>
      </c>
      <c r="K275" s="133"/>
      <c r="L275" s="117"/>
      <c r="M275" s="57">
        <f t="shared" si="164"/>
        <v>-1459</v>
      </c>
      <c r="N275" s="116"/>
      <c r="O275" s="107"/>
      <c r="P275" s="26">
        <f t="shared" si="165"/>
        <v>-1459</v>
      </c>
      <c r="Q275" s="117"/>
      <c r="R275" s="117"/>
      <c r="S275" s="19">
        <f t="shared" si="166"/>
        <v>-1459</v>
      </c>
      <c r="T275" s="116"/>
      <c r="U275" s="116"/>
      <c r="V275" s="20">
        <f t="shared" si="167"/>
        <v>-1459</v>
      </c>
      <c r="W275" s="143"/>
    </row>
    <row r="276" spans="1:23" ht="15.75" customHeight="1">
      <c r="A276" s="114"/>
      <c r="B276" s="106"/>
      <c r="C276" s="107"/>
      <c r="D276" s="26">
        <f t="shared" si="161"/>
        <v>-1459</v>
      </c>
      <c r="E276" s="117"/>
      <c r="F276" s="117"/>
      <c r="G276" s="45">
        <f t="shared" si="162"/>
        <v>-1459</v>
      </c>
      <c r="H276" s="106"/>
      <c r="I276" s="107"/>
      <c r="J276" s="26">
        <f t="shared" si="163"/>
        <v>-1459</v>
      </c>
      <c r="K276" s="133"/>
      <c r="L276" s="117"/>
      <c r="M276" s="57">
        <f t="shared" si="164"/>
        <v>-1459</v>
      </c>
      <c r="N276" s="116"/>
      <c r="O276" s="107"/>
      <c r="P276" s="26">
        <f t="shared" si="165"/>
        <v>-1459</v>
      </c>
      <c r="Q276" s="117"/>
      <c r="R276" s="117"/>
      <c r="S276" s="19">
        <f t="shared" si="166"/>
        <v>-1459</v>
      </c>
      <c r="T276" s="116"/>
      <c r="U276" s="116"/>
      <c r="V276" s="20">
        <f t="shared" si="167"/>
        <v>-1459</v>
      </c>
      <c r="W276" s="143"/>
    </row>
    <row r="277" spans="1:23" ht="15.75" customHeight="1">
      <c r="A277" s="114"/>
      <c r="B277" s="106"/>
      <c r="C277" s="107"/>
      <c r="D277" s="26">
        <f t="shared" si="161"/>
        <v>-1459</v>
      </c>
      <c r="E277" s="117"/>
      <c r="F277" s="117"/>
      <c r="G277" s="45">
        <f t="shared" si="162"/>
        <v>-1459</v>
      </c>
      <c r="H277" s="106"/>
      <c r="I277" s="107"/>
      <c r="J277" s="26">
        <f t="shared" si="163"/>
        <v>-1459</v>
      </c>
      <c r="K277" s="133"/>
      <c r="L277" s="117"/>
      <c r="M277" s="57">
        <f t="shared" si="164"/>
        <v>-1459</v>
      </c>
      <c r="N277" s="116"/>
      <c r="O277" s="107"/>
      <c r="P277" s="26">
        <f t="shared" si="165"/>
        <v>-1459</v>
      </c>
      <c r="Q277" s="117"/>
      <c r="R277" s="117"/>
      <c r="S277" s="19">
        <f t="shared" si="166"/>
        <v>-1459</v>
      </c>
      <c r="T277" s="116"/>
      <c r="U277" s="116"/>
      <c r="V277" s="20">
        <f t="shared" si="167"/>
        <v>-1459</v>
      </c>
      <c r="W277" s="143"/>
    </row>
    <row r="278" spans="1:23" ht="15.75" customHeight="1">
      <c r="A278" s="114"/>
      <c r="B278" s="106"/>
      <c r="C278" s="107"/>
      <c r="D278" s="26">
        <f t="shared" si="161"/>
        <v>-1459</v>
      </c>
      <c r="E278" s="117"/>
      <c r="F278" s="117"/>
      <c r="G278" s="45">
        <f t="shared" si="162"/>
        <v>-1459</v>
      </c>
      <c r="H278" s="106"/>
      <c r="I278" s="107"/>
      <c r="J278" s="26">
        <f t="shared" si="163"/>
        <v>-1459</v>
      </c>
      <c r="K278" s="133"/>
      <c r="L278" s="117"/>
      <c r="M278" s="57">
        <f t="shared" si="164"/>
        <v>-1459</v>
      </c>
      <c r="N278" s="116"/>
      <c r="O278" s="107"/>
      <c r="P278" s="26">
        <f t="shared" si="165"/>
        <v>-1459</v>
      </c>
      <c r="Q278" s="117"/>
      <c r="R278" s="117"/>
      <c r="S278" s="19">
        <f t="shared" si="166"/>
        <v>-1459</v>
      </c>
      <c r="T278" s="116"/>
      <c r="U278" s="116"/>
      <c r="V278" s="20">
        <f t="shared" si="167"/>
        <v>-1459</v>
      </c>
      <c r="W278" s="143"/>
    </row>
    <row r="279" spans="1:23" ht="15.75" customHeight="1">
      <c r="A279" s="114"/>
      <c r="B279" s="106"/>
      <c r="C279" s="107"/>
      <c r="D279" s="26">
        <f t="shared" si="161"/>
        <v>-1459</v>
      </c>
      <c r="E279" s="117"/>
      <c r="F279" s="117"/>
      <c r="G279" s="45">
        <f t="shared" si="162"/>
        <v>-1459</v>
      </c>
      <c r="H279" s="106"/>
      <c r="I279" s="107"/>
      <c r="J279" s="26">
        <f t="shared" si="163"/>
        <v>-1459</v>
      </c>
      <c r="K279" s="133"/>
      <c r="L279" s="117"/>
      <c r="M279" s="57">
        <f t="shared" si="164"/>
        <v>-1459</v>
      </c>
      <c r="N279" s="116"/>
      <c r="O279" s="107"/>
      <c r="P279" s="26">
        <f t="shared" si="165"/>
        <v>-1459</v>
      </c>
      <c r="Q279" s="117"/>
      <c r="R279" s="117"/>
      <c r="S279" s="19">
        <f t="shared" si="166"/>
        <v>-1459</v>
      </c>
      <c r="T279" s="116"/>
      <c r="U279" s="116"/>
      <c r="V279" s="20">
        <f t="shared" si="167"/>
        <v>-1459</v>
      </c>
      <c r="W279" s="143"/>
    </row>
    <row r="280" spans="1:23" ht="15.75" customHeight="1">
      <c r="A280" s="114"/>
      <c r="B280" s="122"/>
      <c r="C280" s="123"/>
      <c r="D280" s="26">
        <f t="shared" si="161"/>
        <v>-1459</v>
      </c>
      <c r="E280" s="117"/>
      <c r="F280" s="117"/>
      <c r="G280" s="45">
        <f t="shared" si="162"/>
        <v>-1459</v>
      </c>
      <c r="H280" s="122"/>
      <c r="I280" s="123"/>
      <c r="J280" s="26">
        <f t="shared" si="163"/>
        <v>-1459</v>
      </c>
      <c r="K280" s="133"/>
      <c r="L280" s="117"/>
      <c r="M280" s="57">
        <f t="shared" si="164"/>
        <v>-1459</v>
      </c>
      <c r="N280" s="116"/>
      <c r="O280" s="107"/>
      <c r="P280" s="26">
        <f t="shared" si="165"/>
        <v>-1459</v>
      </c>
      <c r="Q280" s="117"/>
      <c r="R280" s="117"/>
      <c r="S280" s="19">
        <f t="shared" si="166"/>
        <v>-1459</v>
      </c>
      <c r="T280" s="116"/>
      <c r="U280" s="116"/>
      <c r="V280" s="20">
        <f t="shared" si="167"/>
        <v>-1459</v>
      </c>
      <c r="W280" s="143"/>
    </row>
    <row r="281" spans="1:23" ht="15.75" customHeight="1">
      <c r="A281" s="114"/>
      <c r="B281" s="122"/>
      <c r="C281" s="123"/>
      <c r="D281" s="26">
        <f t="shared" si="161"/>
        <v>-1459</v>
      </c>
      <c r="E281" s="117"/>
      <c r="F281" s="117"/>
      <c r="G281" s="45">
        <f t="shared" si="162"/>
        <v>-1459</v>
      </c>
      <c r="H281" s="122"/>
      <c r="I281" s="123"/>
      <c r="J281" s="26">
        <f t="shared" si="163"/>
        <v>-1459</v>
      </c>
      <c r="K281" s="133"/>
      <c r="L281" s="117"/>
      <c r="M281" s="57">
        <f t="shared" si="164"/>
        <v>-1459</v>
      </c>
      <c r="N281" s="116"/>
      <c r="O281" s="123"/>
      <c r="P281" s="26">
        <f t="shared" si="165"/>
        <v>-1459</v>
      </c>
      <c r="Q281" s="117"/>
      <c r="R281" s="117"/>
      <c r="S281" s="19">
        <f t="shared" si="166"/>
        <v>-1459</v>
      </c>
      <c r="T281" s="124"/>
      <c r="U281" s="124"/>
      <c r="V281" s="20">
        <f t="shared" si="167"/>
        <v>-1459</v>
      </c>
      <c r="W281" s="143"/>
    </row>
    <row r="282" spans="1:23" ht="15.75" customHeight="1">
      <c r="A282" s="114"/>
      <c r="B282" s="122"/>
      <c r="C282" s="123"/>
      <c r="D282" s="39">
        <f t="shared" si="161"/>
        <v>-1459</v>
      </c>
      <c r="E282" s="128"/>
      <c r="F282" s="128"/>
      <c r="G282" s="46">
        <f t="shared" si="162"/>
        <v>-1459</v>
      </c>
      <c r="H282" s="122"/>
      <c r="I282" s="123"/>
      <c r="J282" s="39">
        <f t="shared" si="163"/>
        <v>-1459</v>
      </c>
      <c r="K282" s="140"/>
      <c r="L282" s="128"/>
      <c r="M282" s="58">
        <f t="shared" si="164"/>
        <v>-1459</v>
      </c>
      <c r="N282" s="124"/>
      <c r="O282" s="123"/>
      <c r="P282" s="39">
        <f t="shared" si="165"/>
        <v>-1459</v>
      </c>
      <c r="Q282" s="128"/>
      <c r="R282" s="128"/>
      <c r="S282" s="29">
        <f t="shared" si="166"/>
        <v>-1459</v>
      </c>
      <c r="T282" s="124"/>
      <c r="U282" s="123"/>
      <c r="V282" s="49">
        <f t="shared" si="167"/>
        <v>-1459</v>
      </c>
      <c r="W282" s="143"/>
    </row>
    <row r="283" spans="1:23" ht="15.75" customHeight="1">
      <c r="A283" s="87"/>
      <c r="B283" s="77">
        <f ca="1">IFERROR(__xludf.DUMMYFUNCTION("DATE(VALUE(LEFT($B$2,4)),VALUE(MID($B$2,6,2)),VALUE(RIGHT($B$2,2)))
+ (VALUE(REGEXEXTRACT(INDIRECT(""A""&amp;ROW()+1),""\d+""))-1)*7
+ INT((COLUMN()-COLUMN($B283))/3)
"),46187)</f>
        <v>46187</v>
      </c>
      <c r="C283" s="81"/>
      <c r="D283" s="82"/>
      <c r="E283" s="77">
        <f ca="1">IFERROR(__xludf.DUMMYFUNCTION("DATE(VALUE(LEFT($B$2,4)),VALUE(MID($B$2,6,2)),VALUE(RIGHT($B$2,2)))
+ (VALUE(REGEXEXTRACT(INDIRECT(""A""&amp;ROW()+1),""\d+""))-1)*7
+ INT((COLUMN()-COLUMN($B283))/3)
"),46188)</f>
        <v>46188</v>
      </c>
      <c r="F283" s="81"/>
      <c r="G283" s="82"/>
      <c r="H283" s="77">
        <f ca="1">IFERROR(__xludf.DUMMYFUNCTION("DATE(VALUE(LEFT($B$2,4)),VALUE(MID($B$2,6,2)),VALUE(RIGHT($B$2,2)))
+ (VALUE(REGEXEXTRACT(INDIRECT(""A""&amp;ROW()+1),""\d+""))-1)*7
+ INT((COLUMN()-COLUMN($B283))/3)
"),46189)</f>
        <v>46189</v>
      </c>
      <c r="I283" s="81"/>
      <c r="J283" s="82"/>
      <c r="K283" s="77">
        <f ca="1">IFERROR(__xludf.DUMMYFUNCTION("DATE(VALUE(LEFT($B$2,4)),VALUE(MID($B$2,6,2)),VALUE(RIGHT($B$2,2)))
+ (VALUE(REGEXEXTRACT(INDIRECT(""A""&amp;ROW()+1),""\d+""))-1)*7
+ INT((COLUMN()-COLUMN($B283))/3)
"),46190)</f>
        <v>46190</v>
      </c>
      <c r="L283" s="81"/>
      <c r="M283" s="82"/>
      <c r="N283" s="77">
        <f ca="1">IFERROR(__xludf.DUMMYFUNCTION("DATE(VALUE(LEFT($B$2,4)),VALUE(MID($B$2,6,2)),VALUE(RIGHT($B$2,2)))
+ (VALUE(REGEXEXTRACT(INDIRECT(""A""&amp;ROW()+1),""\d+""))-1)*7
+ INT((COLUMN()-COLUMN($B283))/3)
"),46191)</f>
        <v>46191</v>
      </c>
      <c r="O283" s="81"/>
      <c r="P283" s="82"/>
      <c r="Q283" s="77">
        <f ca="1">IFERROR(__xludf.DUMMYFUNCTION("DATE(VALUE(LEFT($B$2,4)),VALUE(MID($B$2,6,2)),VALUE(RIGHT($B$2,2)))
+ (VALUE(REGEXEXTRACT(INDIRECT(""A""&amp;ROW()+1),""\d+""))-1)*7
+ INT((COLUMN()-COLUMN($B283))/3)
"),46192)</f>
        <v>46192</v>
      </c>
      <c r="R283" s="81"/>
      <c r="S283" s="82"/>
      <c r="T283" s="77">
        <f ca="1">IFERROR(__xludf.DUMMYFUNCTION("DATE(VALUE(LEFT($B$2,4)),VALUE(MID($B$2,6,2)),VALUE(RIGHT($B$2,2)))
+ (VALUE(REGEXEXTRACT(INDIRECT(""A""&amp;ROW()+1),""\d+""))-1)*7
+ INT((COLUMN()-COLUMN($B283))/3)
"),46193)</f>
        <v>46193</v>
      </c>
      <c r="U283" s="81"/>
      <c r="V283" s="82"/>
      <c r="W283" s="52" t="s">
        <v>20</v>
      </c>
    </row>
    <row r="284" spans="1:23" ht="15.75" customHeight="1">
      <c r="A284" s="47" t="s">
        <v>153</v>
      </c>
      <c r="B284" s="109"/>
      <c r="C284" s="109"/>
      <c r="D284" s="42">
        <f>V282+C284</f>
        <v>-1459</v>
      </c>
      <c r="E284" s="112"/>
      <c r="F284" s="111"/>
      <c r="G284" s="48">
        <f>D294+F284</f>
        <v>-1459</v>
      </c>
      <c r="H284" s="113"/>
      <c r="I284" s="109"/>
      <c r="J284" s="42">
        <f>G294+I284</f>
        <v>-1459</v>
      </c>
      <c r="K284" s="110"/>
      <c r="L284" s="111"/>
      <c r="M284" s="18">
        <f>J294+L284</f>
        <v>-1459</v>
      </c>
      <c r="N284" s="113"/>
      <c r="O284" s="109"/>
      <c r="P284" s="35">
        <f>M294+O284</f>
        <v>-1459</v>
      </c>
      <c r="Q284" s="112"/>
      <c r="R284" s="111"/>
      <c r="S284" s="36">
        <f>P294+R284</f>
        <v>-1459</v>
      </c>
      <c r="T284" s="176"/>
      <c r="U284" s="173"/>
      <c r="V284" s="50">
        <f>S294+U284</f>
        <v>-1459</v>
      </c>
      <c r="W284" s="172"/>
    </row>
    <row r="285" spans="1:23" ht="15.75" customHeight="1">
      <c r="A285" s="114"/>
      <c r="B285" s="117"/>
      <c r="C285" s="117"/>
      <c r="D285" s="19">
        <f t="shared" ref="D285:D294" si="168">D284+C285</f>
        <v>-1459</v>
      </c>
      <c r="E285" s="106"/>
      <c r="F285" s="107"/>
      <c r="G285" s="20">
        <f t="shared" ref="G285:G294" si="169">G284+F285</f>
        <v>-1459</v>
      </c>
      <c r="H285" s="118"/>
      <c r="I285" s="117"/>
      <c r="J285" s="19">
        <f t="shared" ref="J285:J294" si="170">J284+I285</f>
        <v>-1459</v>
      </c>
      <c r="K285" s="116"/>
      <c r="L285" s="107"/>
      <c r="M285" s="26">
        <f t="shared" ref="M285:M294" si="171">M284+L285</f>
        <v>-1459</v>
      </c>
      <c r="N285" s="118"/>
      <c r="O285" s="117"/>
      <c r="P285" s="38">
        <f t="shared" ref="P285:P294" si="172">P284+O285</f>
        <v>-1459</v>
      </c>
      <c r="Q285" s="106"/>
      <c r="R285" s="107"/>
      <c r="S285" s="26">
        <f t="shared" ref="S285:S294" si="173">S284+R285</f>
        <v>-1459</v>
      </c>
      <c r="T285" s="177"/>
      <c r="U285" s="136"/>
      <c r="V285" s="45">
        <f t="shared" ref="V285:V294" si="174">V284+U285</f>
        <v>-1459</v>
      </c>
      <c r="W285" s="143"/>
    </row>
    <row r="286" spans="1:23" ht="15.75" customHeight="1">
      <c r="A286" s="114"/>
      <c r="B286" s="117"/>
      <c r="C286" s="117"/>
      <c r="D286" s="19">
        <f t="shared" si="168"/>
        <v>-1459</v>
      </c>
      <c r="E286" s="106"/>
      <c r="F286" s="107"/>
      <c r="G286" s="20">
        <f t="shared" si="169"/>
        <v>-1459</v>
      </c>
      <c r="H286" s="118"/>
      <c r="I286" s="117"/>
      <c r="J286" s="19">
        <f t="shared" si="170"/>
        <v>-1459</v>
      </c>
      <c r="K286" s="116"/>
      <c r="L286" s="107"/>
      <c r="M286" s="26">
        <f t="shared" si="171"/>
        <v>-1459</v>
      </c>
      <c r="N286" s="117"/>
      <c r="O286" s="117"/>
      <c r="P286" s="38">
        <f t="shared" si="172"/>
        <v>-1459</v>
      </c>
      <c r="Q286" s="106"/>
      <c r="R286" s="107"/>
      <c r="S286" s="26">
        <f t="shared" si="173"/>
        <v>-1459</v>
      </c>
      <c r="T286" s="177"/>
      <c r="U286" s="136"/>
      <c r="V286" s="45">
        <f t="shared" si="174"/>
        <v>-1459</v>
      </c>
      <c r="W286" s="143"/>
    </row>
    <row r="287" spans="1:23" ht="15.75" customHeight="1">
      <c r="A287" s="114"/>
      <c r="B287" s="117"/>
      <c r="C287" s="117"/>
      <c r="D287" s="19">
        <f t="shared" si="168"/>
        <v>-1459</v>
      </c>
      <c r="E287" s="106"/>
      <c r="F287" s="107"/>
      <c r="G287" s="20">
        <f t="shared" si="169"/>
        <v>-1459</v>
      </c>
      <c r="H287" s="118"/>
      <c r="I287" s="117"/>
      <c r="J287" s="19">
        <f t="shared" si="170"/>
        <v>-1459</v>
      </c>
      <c r="K287" s="116"/>
      <c r="L287" s="107"/>
      <c r="M287" s="26">
        <f t="shared" si="171"/>
        <v>-1459</v>
      </c>
      <c r="N287" s="117"/>
      <c r="O287" s="117"/>
      <c r="P287" s="38">
        <f t="shared" si="172"/>
        <v>-1459</v>
      </c>
      <c r="Q287" s="106"/>
      <c r="R287" s="107"/>
      <c r="S287" s="26">
        <f t="shared" si="173"/>
        <v>-1459</v>
      </c>
      <c r="T287" s="177"/>
      <c r="U287" s="136"/>
      <c r="V287" s="45">
        <f t="shared" si="174"/>
        <v>-1459</v>
      </c>
      <c r="W287" s="143"/>
    </row>
    <row r="288" spans="1:23" ht="15.75" customHeight="1">
      <c r="A288" s="114"/>
      <c r="B288" s="117"/>
      <c r="C288" s="117"/>
      <c r="D288" s="19">
        <f t="shared" si="168"/>
        <v>-1459</v>
      </c>
      <c r="E288" s="106"/>
      <c r="F288" s="107"/>
      <c r="G288" s="20">
        <f t="shared" si="169"/>
        <v>-1459</v>
      </c>
      <c r="H288" s="118"/>
      <c r="I288" s="117"/>
      <c r="J288" s="19">
        <f t="shared" si="170"/>
        <v>-1459</v>
      </c>
      <c r="K288" s="116"/>
      <c r="L288" s="107"/>
      <c r="M288" s="26">
        <f t="shared" si="171"/>
        <v>-1459</v>
      </c>
      <c r="N288" s="117"/>
      <c r="O288" s="117"/>
      <c r="P288" s="38">
        <f t="shared" si="172"/>
        <v>-1459</v>
      </c>
      <c r="Q288" s="106"/>
      <c r="R288" s="107"/>
      <c r="S288" s="26">
        <f t="shared" si="173"/>
        <v>-1459</v>
      </c>
      <c r="T288" s="177"/>
      <c r="U288" s="136"/>
      <c r="V288" s="45">
        <f t="shared" si="174"/>
        <v>-1459</v>
      </c>
      <c r="W288" s="143"/>
    </row>
    <row r="289" spans="1:23" ht="15.75" customHeight="1">
      <c r="A289" s="114"/>
      <c r="B289" s="118"/>
      <c r="C289" s="117"/>
      <c r="D289" s="19">
        <f t="shared" si="168"/>
        <v>-1459</v>
      </c>
      <c r="E289" s="106"/>
      <c r="F289" s="107"/>
      <c r="G289" s="20">
        <f t="shared" si="169"/>
        <v>-1459</v>
      </c>
      <c r="H289" s="118"/>
      <c r="I289" s="117"/>
      <c r="J289" s="19">
        <f t="shared" si="170"/>
        <v>-1459</v>
      </c>
      <c r="K289" s="116"/>
      <c r="L289" s="107"/>
      <c r="M289" s="26">
        <f t="shared" si="171"/>
        <v>-1459</v>
      </c>
      <c r="N289" s="117"/>
      <c r="O289" s="117"/>
      <c r="P289" s="38">
        <f t="shared" si="172"/>
        <v>-1459</v>
      </c>
      <c r="Q289" s="106"/>
      <c r="R289" s="107"/>
      <c r="S289" s="26">
        <f t="shared" si="173"/>
        <v>-1459</v>
      </c>
      <c r="T289" s="177"/>
      <c r="U289" s="136"/>
      <c r="V289" s="45">
        <f t="shared" si="174"/>
        <v>-1459</v>
      </c>
      <c r="W289" s="143"/>
    </row>
    <row r="290" spans="1:23" ht="15.75" customHeight="1">
      <c r="A290" s="114"/>
      <c r="B290" s="117"/>
      <c r="C290" s="117"/>
      <c r="D290" s="19">
        <f t="shared" si="168"/>
        <v>-1459</v>
      </c>
      <c r="E290" s="106"/>
      <c r="F290" s="107"/>
      <c r="G290" s="20">
        <f t="shared" si="169"/>
        <v>-1459</v>
      </c>
      <c r="H290" s="118"/>
      <c r="I290" s="117"/>
      <c r="J290" s="19">
        <f t="shared" si="170"/>
        <v>-1459</v>
      </c>
      <c r="K290" s="116"/>
      <c r="L290" s="107"/>
      <c r="M290" s="26">
        <f t="shared" si="171"/>
        <v>-1459</v>
      </c>
      <c r="N290" s="117"/>
      <c r="O290" s="117"/>
      <c r="P290" s="38">
        <f t="shared" si="172"/>
        <v>-1459</v>
      </c>
      <c r="Q290" s="106"/>
      <c r="R290" s="107"/>
      <c r="S290" s="26">
        <f t="shared" si="173"/>
        <v>-1459</v>
      </c>
      <c r="T290" s="177"/>
      <c r="U290" s="136"/>
      <c r="V290" s="45">
        <f t="shared" si="174"/>
        <v>-1459</v>
      </c>
      <c r="W290" s="143"/>
    </row>
    <row r="291" spans="1:23" ht="15.75" customHeight="1">
      <c r="A291" s="114"/>
      <c r="B291" s="117"/>
      <c r="C291" s="117"/>
      <c r="D291" s="19">
        <f t="shared" si="168"/>
        <v>-1459</v>
      </c>
      <c r="E291" s="106"/>
      <c r="F291" s="107"/>
      <c r="G291" s="20">
        <f t="shared" si="169"/>
        <v>-1459</v>
      </c>
      <c r="H291" s="118"/>
      <c r="I291" s="117"/>
      <c r="J291" s="19">
        <f t="shared" si="170"/>
        <v>-1459</v>
      </c>
      <c r="K291" s="116"/>
      <c r="L291" s="107"/>
      <c r="M291" s="26">
        <f t="shared" si="171"/>
        <v>-1459</v>
      </c>
      <c r="N291" s="117"/>
      <c r="O291" s="117"/>
      <c r="P291" s="38">
        <f t="shared" si="172"/>
        <v>-1459</v>
      </c>
      <c r="Q291" s="106"/>
      <c r="R291" s="107"/>
      <c r="S291" s="26">
        <f t="shared" si="173"/>
        <v>-1459</v>
      </c>
      <c r="T291" s="177"/>
      <c r="U291" s="136"/>
      <c r="V291" s="45">
        <f t="shared" si="174"/>
        <v>-1459</v>
      </c>
      <c r="W291" s="143"/>
    </row>
    <row r="292" spans="1:23" ht="15.75" customHeight="1">
      <c r="A292" s="114"/>
      <c r="B292" s="117"/>
      <c r="C292" s="117"/>
      <c r="D292" s="19">
        <f t="shared" si="168"/>
        <v>-1459</v>
      </c>
      <c r="E292" s="106"/>
      <c r="F292" s="107"/>
      <c r="G292" s="20">
        <f t="shared" si="169"/>
        <v>-1459</v>
      </c>
      <c r="H292" s="118"/>
      <c r="I292" s="117"/>
      <c r="J292" s="19">
        <f t="shared" si="170"/>
        <v>-1459</v>
      </c>
      <c r="K292" s="116"/>
      <c r="L292" s="107"/>
      <c r="M292" s="26">
        <f t="shared" si="171"/>
        <v>-1459</v>
      </c>
      <c r="N292" s="117"/>
      <c r="O292" s="117"/>
      <c r="P292" s="38">
        <f t="shared" si="172"/>
        <v>-1459</v>
      </c>
      <c r="Q292" s="106"/>
      <c r="R292" s="107"/>
      <c r="S292" s="26">
        <f t="shared" si="173"/>
        <v>-1459</v>
      </c>
      <c r="T292" s="177"/>
      <c r="U292" s="136"/>
      <c r="V292" s="45">
        <f t="shared" si="174"/>
        <v>-1459</v>
      </c>
      <c r="W292" s="143"/>
    </row>
    <row r="293" spans="1:23" ht="15.75" customHeight="1">
      <c r="A293" s="114"/>
      <c r="B293" s="117"/>
      <c r="C293" s="117"/>
      <c r="D293" s="19">
        <f t="shared" si="168"/>
        <v>-1459</v>
      </c>
      <c r="E293" s="122"/>
      <c r="F293" s="123"/>
      <c r="G293" s="20">
        <f t="shared" si="169"/>
        <v>-1459</v>
      </c>
      <c r="H293" s="118"/>
      <c r="I293" s="117"/>
      <c r="J293" s="19">
        <f t="shared" si="170"/>
        <v>-1459</v>
      </c>
      <c r="K293" s="124"/>
      <c r="L293" s="123"/>
      <c r="M293" s="26">
        <f t="shared" si="171"/>
        <v>-1459</v>
      </c>
      <c r="N293" s="117"/>
      <c r="O293" s="117"/>
      <c r="P293" s="38">
        <f t="shared" si="172"/>
        <v>-1459</v>
      </c>
      <c r="Q293" s="122"/>
      <c r="R293" s="123"/>
      <c r="S293" s="26">
        <f t="shared" si="173"/>
        <v>-1459</v>
      </c>
      <c r="T293" s="177"/>
      <c r="U293" s="136"/>
      <c r="V293" s="45">
        <f t="shared" si="174"/>
        <v>-1459</v>
      </c>
      <c r="W293" s="143"/>
    </row>
    <row r="294" spans="1:23" ht="15.75" customHeight="1">
      <c r="A294" s="114"/>
      <c r="B294" s="128"/>
      <c r="C294" s="128"/>
      <c r="D294" s="29">
        <f t="shared" si="168"/>
        <v>-1459</v>
      </c>
      <c r="E294" s="122"/>
      <c r="F294" s="123"/>
      <c r="G294" s="49">
        <f t="shared" si="169"/>
        <v>-1459</v>
      </c>
      <c r="H294" s="154"/>
      <c r="I294" s="128"/>
      <c r="J294" s="29">
        <f t="shared" si="170"/>
        <v>-1459</v>
      </c>
      <c r="K294" s="124"/>
      <c r="L294" s="123"/>
      <c r="M294" s="39">
        <f t="shared" si="171"/>
        <v>-1459</v>
      </c>
      <c r="N294" s="128"/>
      <c r="O294" s="128"/>
      <c r="P294" s="40">
        <f t="shared" si="172"/>
        <v>-1459</v>
      </c>
      <c r="Q294" s="122"/>
      <c r="R294" s="123"/>
      <c r="S294" s="39">
        <f t="shared" si="173"/>
        <v>-1459</v>
      </c>
      <c r="T294" s="178"/>
      <c r="U294" s="141"/>
      <c r="V294" s="46">
        <f t="shared" si="174"/>
        <v>-1459</v>
      </c>
      <c r="W294" s="143"/>
    </row>
    <row r="295" spans="1:23" ht="15.75" customHeight="1">
      <c r="A295" s="87"/>
      <c r="B295" s="77">
        <f ca="1">IFERROR(__xludf.DUMMYFUNCTION("DATE(VALUE(LEFT($B$2,4)),VALUE(MID($B$2,6,2)),VALUE(RIGHT($B$2,2)))
+ (VALUE(REGEXEXTRACT(INDIRECT(""A""&amp;ROW()+1),""\d+""))-1)*7
+ INT((COLUMN()-COLUMN($B295))/3)
"),46194)</f>
        <v>46194</v>
      </c>
      <c r="C295" s="81"/>
      <c r="D295" s="82"/>
      <c r="E295" s="77">
        <f ca="1">IFERROR(__xludf.DUMMYFUNCTION("DATE(VALUE(LEFT($B$2,4)),VALUE(MID($B$2,6,2)),VALUE(RIGHT($B$2,2)))
+ (VALUE(REGEXEXTRACT(INDIRECT(""A""&amp;ROW()+1),""\d+""))-1)*7
+ INT((COLUMN()-COLUMN($B295))/3)
"),46195)</f>
        <v>46195</v>
      </c>
      <c r="F295" s="81"/>
      <c r="G295" s="82"/>
      <c r="H295" s="77">
        <f ca="1">IFERROR(__xludf.DUMMYFUNCTION("DATE(VALUE(LEFT($B$2,4)),VALUE(MID($B$2,6,2)),VALUE(RIGHT($B$2,2)))
+ (VALUE(REGEXEXTRACT(INDIRECT(""A""&amp;ROW()+1),""\d+""))-1)*7
+ INT((COLUMN()-COLUMN($B295))/3)
"),46196)</f>
        <v>46196</v>
      </c>
      <c r="I295" s="81"/>
      <c r="J295" s="82"/>
      <c r="K295" s="77">
        <f ca="1">IFERROR(__xludf.DUMMYFUNCTION("DATE(VALUE(LEFT($B$2,4)),VALUE(MID($B$2,6,2)),VALUE(RIGHT($B$2,2)))
+ (VALUE(REGEXEXTRACT(INDIRECT(""A""&amp;ROW()+1),""\d+""))-1)*7
+ INT((COLUMN()-COLUMN($B295))/3)
"),46197)</f>
        <v>46197</v>
      </c>
      <c r="L295" s="81"/>
      <c r="M295" s="82"/>
      <c r="N295" s="77">
        <f ca="1">IFERROR(__xludf.DUMMYFUNCTION("DATE(VALUE(LEFT($B$2,4)),VALUE(MID($B$2,6,2)),VALUE(RIGHT($B$2,2)))
+ (VALUE(REGEXEXTRACT(INDIRECT(""A""&amp;ROW()+1),""\d+""))-1)*7
+ INT((COLUMN()-COLUMN($B295))/3)
"),46198)</f>
        <v>46198</v>
      </c>
      <c r="O295" s="81"/>
      <c r="P295" s="82"/>
      <c r="Q295" s="77">
        <f ca="1">IFERROR(__xludf.DUMMYFUNCTION("DATE(VALUE(LEFT($B$2,4)),VALUE(MID($B$2,6,2)),VALUE(RIGHT($B$2,2)))
+ (VALUE(REGEXEXTRACT(INDIRECT(""A""&amp;ROW()+1),""\d+""))-1)*7
+ INT((COLUMN()-COLUMN($B295))/3)
"),46199)</f>
        <v>46199</v>
      </c>
      <c r="R295" s="81"/>
      <c r="S295" s="82"/>
      <c r="T295" s="77">
        <f ca="1">IFERROR(__xludf.DUMMYFUNCTION("DATE(VALUE(LEFT($B$2,4)),VALUE(MID($B$2,6,2)),VALUE(RIGHT($B$2,2)))
+ (VALUE(REGEXEXTRACT(INDIRECT(""A""&amp;ROW()+1),""\d+""))-1)*7
+ INT((COLUMN()-COLUMN($B295))/3)
"),46200)</f>
        <v>46200</v>
      </c>
      <c r="U295" s="81"/>
      <c r="V295" s="82"/>
      <c r="W295" s="143"/>
    </row>
    <row r="296" spans="1:23" ht="15.75" customHeight="1">
      <c r="A296" s="51" t="s">
        <v>154</v>
      </c>
      <c r="B296" s="112"/>
      <c r="C296" s="111"/>
      <c r="D296" s="17">
        <f>V294+C296</f>
        <v>-1459</v>
      </c>
      <c r="E296" s="109"/>
      <c r="F296" s="109"/>
      <c r="G296" s="42">
        <f>D306+F296</f>
        <v>-1459</v>
      </c>
      <c r="H296" s="112"/>
      <c r="I296" s="111"/>
      <c r="J296" s="17">
        <f>G306+I296</f>
        <v>-1459</v>
      </c>
      <c r="K296" s="109"/>
      <c r="L296" s="109"/>
      <c r="M296" s="35">
        <f>J306+L296</f>
        <v>-1459</v>
      </c>
      <c r="N296" s="112"/>
      <c r="O296" s="111"/>
      <c r="P296" s="17">
        <f>M306+O296</f>
        <v>-1459</v>
      </c>
      <c r="Q296" s="109"/>
      <c r="R296" s="109"/>
      <c r="S296" s="42">
        <f>P306+R296</f>
        <v>-1459</v>
      </c>
      <c r="T296" s="110"/>
      <c r="U296" s="111"/>
      <c r="V296" s="48">
        <f>S306+U296</f>
        <v>-1459</v>
      </c>
      <c r="W296" s="143"/>
    </row>
    <row r="297" spans="1:23" ht="15.75" customHeight="1">
      <c r="A297" s="114"/>
      <c r="B297" s="106"/>
      <c r="C297" s="107"/>
      <c r="D297" s="26">
        <f t="shared" ref="D297:D306" si="175">D296+C297</f>
        <v>-1459</v>
      </c>
      <c r="E297" s="117"/>
      <c r="F297" s="117"/>
      <c r="G297" s="19">
        <f t="shared" ref="G297:G306" si="176">G296+F297</f>
        <v>-1459</v>
      </c>
      <c r="H297" s="106"/>
      <c r="I297" s="107"/>
      <c r="J297" s="26">
        <f t="shared" ref="J297:J306" si="177">J296+I297</f>
        <v>-1459</v>
      </c>
      <c r="K297" s="117"/>
      <c r="L297" s="117"/>
      <c r="M297" s="38">
        <f t="shared" ref="M297:M306" si="178">M296+L297</f>
        <v>-1459</v>
      </c>
      <c r="N297" s="106"/>
      <c r="O297" s="107"/>
      <c r="P297" s="26">
        <f t="shared" ref="P297:P306" si="179">P296+O297</f>
        <v>-1459</v>
      </c>
      <c r="Q297" s="117"/>
      <c r="R297" s="117"/>
      <c r="S297" s="19">
        <f t="shared" ref="S297:S306" si="180">S296+R297</f>
        <v>-1459</v>
      </c>
      <c r="T297" s="106"/>
      <c r="U297" s="107"/>
      <c r="V297" s="20">
        <f t="shared" ref="V297:V306" si="181">V296+U297</f>
        <v>-1459</v>
      </c>
      <c r="W297" s="143"/>
    </row>
    <row r="298" spans="1:23" ht="15.75" customHeight="1">
      <c r="A298" s="114"/>
      <c r="B298" s="106"/>
      <c r="C298" s="107"/>
      <c r="D298" s="26">
        <f t="shared" si="175"/>
        <v>-1459</v>
      </c>
      <c r="E298" s="117"/>
      <c r="F298" s="117"/>
      <c r="G298" s="19">
        <f t="shared" si="176"/>
        <v>-1459</v>
      </c>
      <c r="H298" s="106"/>
      <c r="I298" s="107"/>
      <c r="J298" s="26">
        <f t="shared" si="177"/>
        <v>-1459</v>
      </c>
      <c r="K298" s="117"/>
      <c r="L298" s="117"/>
      <c r="M298" s="38">
        <f t="shared" si="178"/>
        <v>-1459</v>
      </c>
      <c r="N298" s="106"/>
      <c r="O298" s="107"/>
      <c r="P298" s="26">
        <f t="shared" si="179"/>
        <v>-1459</v>
      </c>
      <c r="Q298" s="117"/>
      <c r="R298" s="117"/>
      <c r="S298" s="19">
        <f t="shared" si="180"/>
        <v>-1459</v>
      </c>
      <c r="T298" s="106"/>
      <c r="U298" s="107"/>
      <c r="V298" s="20">
        <f t="shared" si="181"/>
        <v>-1459</v>
      </c>
      <c r="W298" s="143"/>
    </row>
    <row r="299" spans="1:23" ht="15.75" customHeight="1">
      <c r="A299" s="114"/>
      <c r="B299" s="106"/>
      <c r="C299" s="107"/>
      <c r="D299" s="26">
        <f t="shared" si="175"/>
        <v>-1459</v>
      </c>
      <c r="E299" s="117"/>
      <c r="F299" s="117"/>
      <c r="G299" s="19">
        <f t="shared" si="176"/>
        <v>-1459</v>
      </c>
      <c r="H299" s="106"/>
      <c r="I299" s="107"/>
      <c r="J299" s="26">
        <f t="shared" si="177"/>
        <v>-1459</v>
      </c>
      <c r="K299" s="117"/>
      <c r="L299" s="117"/>
      <c r="M299" s="38">
        <f t="shared" si="178"/>
        <v>-1459</v>
      </c>
      <c r="N299" s="106"/>
      <c r="O299" s="107"/>
      <c r="P299" s="26">
        <f t="shared" si="179"/>
        <v>-1459</v>
      </c>
      <c r="Q299" s="117"/>
      <c r="R299" s="117"/>
      <c r="S299" s="19">
        <f t="shared" si="180"/>
        <v>-1459</v>
      </c>
      <c r="T299" s="116"/>
      <c r="U299" s="116"/>
      <c r="V299" s="20">
        <f t="shared" si="181"/>
        <v>-1459</v>
      </c>
      <c r="W299" s="143"/>
    </row>
    <row r="300" spans="1:23" ht="15.75" customHeight="1">
      <c r="A300" s="114"/>
      <c r="B300" s="106"/>
      <c r="C300" s="107"/>
      <c r="D300" s="26">
        <f t="shared" si="175"/>
        <v>-1459</v>
      </c>
      <c r="E300" s="117"/>
      <c r="F300" s="117"/>
      <c r="G300" s="19">
        <f t="shared" si="176"/>
        <v>-1459</v>
      </c>
      <c r="H300" s="106"/>
      <c r="I300" s="107"/>
      <c r="J300" s="26">
        <f t="shared" si="177"/>
        <v>-1459</v>
      </c>
      <c r="K300" s="117"/>
      <c r="L300" s="117"/>
      <c r="M300" s="38">
        <f t="shared" si="178"/>
        <v>-1459</v>
      </c>
      <c r="N300" s="106"/>
      <c r="O300" s="107"/>
      <c r="P300" s="26">
        <f t="shared" si="179"/>
        <v>-1459</v>
      </c>
      <c r="Q300" s="117"/>
      <c r="R300" s="117"/>
      <c r="S300" s="19">
        <f t="shared" si="180"/>
        <v>-1459</v>
      </c>
      <c r="T300" s="116"/>
      <c r="U300" s="116"/>
      <c r="V300" s="20">
        <f t="shared" si="181"/>
        <v>-1459</v>
      </c>
      <c r="W300" s="143"/>
    </row>
    <row r="301" spans="1:23" ht="15.75" customHeight="1">
      <c r="A301" s="114"/>
      <c r="B301" s="106"/>
      <c r="C301" s="107"/>
      <c r="D301" s="26">
        <f t="shared" si="175"/>
        <v>-1459</v>
      </c>
      <c r="E301" s="117"/>
      <c r="F301" s="117"/>
      <c r="G301" s="19">
        <f t="shared" si="176"/>
        <v>-1459</v>
      </c>
      <c r="H301" s="106"/>
      <c r="I301" s="107"/>
      <c r="J301" s="26">
        <f t="shared" si="177"/>
        <v>-1459</v>
      </c>
      <c r="K301" s="117"/>
      <c r="L301" s="117"/>
      <c r="M301" s="38">
        <f t="shared" si="178"/>
        <v>-1459</v>
      </c>
      <c r="N301" s="106"/>
      <c r="O301" s="107"/>
      <c r="P301" s="26">
        <f t="shared" si="179"/>
        <v>-1459</v>
      </c>
      <c r="Q301" s="117"/>
      <c r="R301" s="117"/>
      <c r="S301" s="19">
        <f t="shared" si="180"/>
        <v>-1459</v>
      </c>
      <c r="T301" s="116"/>
      <c r="U301" s="116"/>
      <c r="V301" s="20">
        <f t="shared" si="181"/>
        <v>-1459</v>
      </c>
      <c r="W301" s="143"/>
    </row>
    <row r="302" spans="1:23" ht="15.75" customHeight="1">
      <c r="A302" s="114"/>
      <c r="B302" s="106"/>
      <c r="C302" s="107"/>
      <c r="D302" s="26">
        <f t="shared" si="175"/>
        <v>-1459</v>
      </c>
      <c r="E302" s="117"/>
      <c r="F302" s="117"/>
      <c r="G302" s="19">
        <f t="shared" si="176"/>
        <v>-1459</v>
      </c>
      <c r="H302" s="106"/>
      <c r="I302" s="107"/>
      <c r="J302" s="26">
        <f t="shared" si="177"/>
        <v>-1459</v>
      </c>
      <c r="K302" s="117"/>
      <c r="L302" s="117"/>
      <c r="M302" s="38">
        <f t="shared" si="178"/>
        <v>-1459</v>
      </c>
      <c r="N302" s="106"/>
      <c r="O302" s="107"/>
      <c r="P302" s="26">
        <f t="shared" si="179"/>
        <v>-1459</v>
      </c>
      <c r="Q302" s="117"/>
      <c r="R302" s="117"/>
      <c r="S302" s="19">
        <f t="shared" si="180"/>
        <v>-1459</v>
      </c>
      <c r="T302" s="116"/>
      <c r="U302" s="116"/>
      <c r="V302" s="20">
        <f t="shared" si="181"/>
        <v>-1459</v>
      </c>
      <c r="W302" s="143"/>
    </row>
    <row r="303" spans="1:23" ht="15.75" customHeight="1">
      <c r="A303" s="114"/>
      <c r="B303" s="106"/>
      <c r="C303" s="107"/>
      <c r="D303" s="26">
        <f t="shared" si="175"/>
        <v>-1459</v>
      </c>
      <c r="E303" s="117"/>
      <c r="F303" s="117"/>
      <c r="G303" s="19">
        <f t="shared" si="176"/>
        <v>-1459</v>
      </c>
      <c r="H303" s="106"/>
      <c r="I303" s="107"/>
      <c r="J303" s="26">
        <f t="shared" si="177"/>
        <v>-1459</v>
      </c>
      <c r="K303" s="117"/>
      <c r="L303" s="117"/>
      <c r="M303" s="38">
        <f t="shared" si="178"/>
        <v>-1459</v>
      </c>
      <c r="N303" s="106"/>
      <c r="O303" s="107"/>
      <c r="P303" s="26">
        <f t="shared" si="179"/>
        <v>-1459</v>
      </c>
      <c r="Q303" s="117"/>
      <c r="R303" s="117"/>
      <c r="S303" s="19">
        <f t="shared" si="180"/>
        <v>-1459</v>
      </c>
      <c r="T303" s="116"/>
      <c r="U303" s="116"/>
      <c r="V303" s="20">
        <f t="shared" si="181"/>
        <v>-1459</v>
      </c>
      <c r="W303" s="143"/>
    </row>
    <row r="304" spans="1:23" ht="15.75" customHeight="1">
      <c r="A304" s="114"/>
      <c r="B304" s="122"/>
      <c r="C304" s="123"/>
      <c r="D304" s="26">
        <f t="shared" si="175"/>
        <v>-1459</v>
      </c>
      <c r="E304" s="117"/>
      <c r="F304" s="117"/>
      <c r="G304" s="19">
        <f t="shared" si="176"/>
        <v>-1459</v>
      </c>
      <c r="H304" s="122"/>
      <c r="I304" s="123"/>
      <c r="J304" s="26">
        <f t="shared" si="177"/>
        <v>-1459</v>
      </c>
      <c r="K304" s="117"/>
      <c r="L304" s="117"/>
      <c r="M304" s="38">
        <f t="shared" si="178"/>
        <v>-1459</v>
      </c>
      <c r="N304" s="122"/>
      <c r="O304" s="123"/>
      <c r="P304" s="26">
        <f t="shared" si="179"/>
        <v>-1459</v>
      </c>
      <c r="Q304" s="117"/>
      <c r="R304" s="117"/>
      <c r="S304" s="19">
        <f t="shared" si="180"/>
        <v>-1459</v>
      </c>
      <c r="T304" s="116"/>
      <c r="U304" s="116"/>
      <c r="V304" s="20">
        <f t="shared" si="181"/>
        <v>-1459</v>
      </c>
      <c r="W304" s="143"/>
    </row>
    <row r="305" spans="1:23" ht="15.75" customHeight="1">
      <c r="A305" s="114"/>
      <c r="B305" s="122"/>
      <c r="C305" s="123"/>
      <c r="D305" s="26">
        <f t="shared" si="175"/>
        <v>-1459</v>
      </c>
      <c r="E305" s="117"/>
      <c r="F305" s="117"/>
      <c r="G305" s="19">
        <f t="shared" si="176"/>
        <v>-1459</v>
      </c>
      <c r="H305" s="122"/>
      <c r="I305" s="123"/>
      <c r="J305" s="26">
        <f t="shared" si="177"/>
        <v>-1459</v>
      </c>
      <c r="K305" s="117"/>
      <c r="L305" s="117"/>
      <c r="M305" s="38">
        <f t="shared" si="178"/>
        <v>-1459</v>
      </c>
      <c r="N305" s="122"/>
      <c r="O305" s="123"/>
      <c r="P305" s="26">
        <f t="shared" si="179"/>
        <v>-1459</v>
      </c>
      <c r="Q305" s="117"/>
      <c r="R305" s="117"/>
      <c r="S305" s="19">
        <f t="shared" si="180"/>
        <v>-1459</v>
      </c>
      <c r="T305" s="124"/>
      <c r="U305" s="124"/>
      <c r="V305" s="20">
        <f t="shared" si="181"/>
        <v>-1459</v>
      </c>
      <c r="W305" s="143"/>
    </row>
    <row r="306" spans="1:23" ht="15.75" customHeight="1">
      <c r="A306" s="114"/>
      <c r="B306" s="122"/>
      <c r="C306" s="123"/>
      <c r="D306" s="39">
        <f t="shared" si="175"/>
        <v>-1459</v>
      </c>
      <c r="E306" s="128"/>
      <c r="F306" s="128"/>
      <c r="G306" s="29">
        <f t="shared" si="176"/>
        <v>-1459</v>
      </c>
      <c r="H306" s="122"/>
      <c r="I306" s="123"/>
      <c r="J306" s="39">
        <f t="shared" si="177"/>
        <v>-1459</v>
      </c>
      <c r="K306" s="128"/>
      <c r="L306" s="128"/>
      <c r="M306" s="40">
        <f t="shared" si="178"/>
        <v>-1459</v>
      </c>
      <c r="N306" s="122"/>
      <c r="O306" s="123"/>
      <c r="P306" s="39">
        <f t="shared" si="179"/>
        <v>-1459</v>
      </c>
      <c r="Q306" s="128"/>
      <c r="R306" s="128"/>
      <c r="S306" s="29">
        <f t="shared" si="180"/>
        <v>-1459</v>
      </c>
      <c r="T306" s="124"/>
      <c r="U306" s="123"/>
      <c r="V306" s="49">
        <f t="shared" si="181"/>
        <v>-1459</v>
      </c>
      <c r="W306" s="143"/>
    </row>
    <row r="307" spans="1:23" ht="15.75" customHeight="1">
      <c r="A307" s="87"/>
      <c r="B307" s="77">
        <f ca="1">IFERROR(__xludf.DUMMYFUNCTION("DATE(VALUE(LEFT($B$2,4)),VALUE(MID($B$2,6,2)),VALUE(RIGHT($B$2,2)))
+ (VALUE(REGEXEXTRACT(INDIRECT(""A""&amp;ROW()+1),""\d+""))-1)*7
+ INT((COLUMN()-COLUMN($B307))/3)
"),46201)</f>
        <v>46201</v>
      </c>
      <c r="C307" s="81"/>
      <c r="D307" s="82"/>
      <c r="E307" s="77">
        <f ca="1">IFERROR(__xludf.DUMMYFUNCTION("DATE(VALUE(LEFT($B$2,4)),VALUE(MID($B$2,6,2)),VALUE(RIGHT($B$2,2)))
+ (VALUE(REGEXEXTRACT(INDIRECT(""A""&amp;ROW()+1),""\d+""))-1)*7
+ INT((COLUMN()-COLUMN($B307))/3)
"),46202)</f>
        <v>46202</v>
      </c>
      <c r="F307" s="81"/>
      <c r="G307" s="82"/>
      <c r="H307" s="77">
        <f ca="1">IFERROR(__xludf.DUMMYFUNCTION("DATE(VALUE(LEFT($B$2,4)),VALUE(MID($B$2,6,2)),VALUE(RIGHT($B$2,2)))
+ (VALUE(REGEXEXTRACT(INDIRECT(""A""&amp;ROW()+1),""\d+""))-1)*7
+ INT((COLUMN()-COLUMN($B307))/3)
"),46203)</f>
        <v>46203</v>
      </c>
      <c r="I307" s="81"/>
      <c r="J307" s="82"/>
      <c r="K307" s="77">
        <f ca="1">IFERROR(__xludf.DUMMYFUNCTION("DATE(VALUE(LEFT($B$2,4)),VALUE(MID($B$2,6,2)),VALUE(RIGHT($B$2,2)))
+ (VALUE(REGEXEXTRACT(INDIRECT(""A""&amp;ROW()+1),""\d+""))-1)*7
+ INT((COLUMN()-COLUMN($B307))/3)
"),46204)</f>
        <v>46204</v>
      </c>
      <c r="L307" s="81"/>
      <c r="M307" s="82"/>
      <c r="N307" s="77">
        <f ca="1">IFERROR(__xludf.DUMMYFUNCTION("DATE(VALUE(LEFT($B$2,4)),VALUE(MID($B$2,6,2)),VALUE(RIGHT($B$2,2)))
+ (VALUE(REGEXEXTRACT(INDIRECT(""A""&amp;ROW()+1),""\d+""))-1)*7
+ INT((COLUMN()-COLUMN($B307))/3)
"),46205)</f>
        <v>46205</v>
      </c>
      <c r="O307" s="81"/>
      <c r="P307" s="82"/>
      <c r="Q307" s="77">
        <f ca="1">IFERROR(__xludf.DUMMYFUNCTION("DATE(VALUE(LEFT($B$2,4)),VALUE(MID($B$2,6,2)),VALUE(RIGHT($B$2,2)))
+ (VALUE(REGEXEXTRACT(INDIRECT(""A""&amp;ROW()+1),""\d+""))-1)*7
+ INT((COLUMN()-COLUMN($B307))/3)
"),46206)</f>
        <v>46206</v>
      </c>
      <c r="R307" s="81"/>
      <c r="S307" s="82"/>
      <c r="T307" s="77">
        <f ca="1">IFERROR(__xludf.DUMMYFUNCTION("DATE(VALUE(LEFT($B$2,4)),VALUE(MID($B$2,6,2)),VALUE(RIGHT($B$2,2)))
+ (VALUE(REGEXEXTRACT(INDIRECT(""A""&amp;ROW()+1),""\d+""))-1)*7
+ INT((COLUMN()-COLUMN($B307))/3)
"),46207)</f>
        <v>46207</v>
      </c>
      <c r="U307" s="81"/>
      <c r="V307" s="82"/>
      <c r="W307" s="52" t="s">
        <v>20</v>
      </c>
    </row>
    <row r="308" spans="1:23" ht="15.75" customHeight="1">
      <c r="A308" s="47" t="s">
        <v>155</v>
      </c>
      <c r="B308" s="113"/>
      <c r="C308" s="109"/>
      <c r="D308" s="50">
        <f>V306+C308</f>
        <v>-1459</v>
      </c>
      <c r="E308" s="179"/>
      <c r="F308" s="180"/>
      <c r="G308" s="36">
        <f>D318+F308</f>
        <v>-1459</v>
      </c>
      <c r="H308" s="132"/>
      <c r="I308" s="109"/>
      <c r="J308" s="42">
        <f>G318+I308</f>
        <v>-1459</v>
      </c>
      <c r="K308" s="110"/>
      <c r="L308" s="111"/>
      <c r="M308" s="18">
        <f>J318+L308</f>
        <v>-1459</v>
      </c>
      <c r="N308" s="113"/>
      <c r="O308" s="109"/>
      <c r="P308" s="35">
        <f>M318+O308</f>
        <v>-1459</v>
      </c>
      <c r="Q308" s="112"/>
      <c r="R308" s="111"/>
      <c r="S308" s="17">
        <f>P318+R308</f>
        <v>-1459</v>
      </c>
      <c r="T308" s="176"/>
      <c r="U308" s="173"/>
      <c r="V308" s="50">
        <f>S318+U308</f>
        <v>-1459</v>
      </c>
      <c r="W308" s="172"/>
    </row>
    <row r="309" spans="1:23" ht="15.75" customHeight="1">
      <c r="A309" s="114"/>
      <c r="B309" s="118"/>
      <c r="C309" s="117"/>
      <c r="D309" s="45">
        <f t="shared" ref="D309:D318" si="182">D308+C309</f>
        <v>-1459</v>
      </c>
      <c r="E309" s="106"/>
      <c r="F309" s="107"/>
      <c r="G309" s="26">
        <f t="shared" ref="G309:G318" si="183">G308+F309</f>
        <v>-1459</v>
      </c>
      <c r="H309" s="133"/>
      <c r="I309" s="117"/>
      <c r="J309" s="19">
        <f t="shared" ref="J309:J318" si="184">J308+I309</f>
        <v>-1459</v>
      </c>
      <c r="K309" s="116"/>
      <c r="L309" s="107"/>
      <c r="M309" s="26">
        <f t="shared" ref="M309:M318" si="185">M308+L309</f>
        <v>-1459</v>
      </c>
      <c r="N309" s="118"/>
      <c r="O309" s="117"/>
      <c r="P309" s="38">
        <f t="shared" ref="P309:P318" si="186">P308+O309</f>
        <v>-1459</v>
      </c>
      <c r="Q309" s="106"/>
      <c r="R309" s="107"/>
      <c r="S309" s="26">
        <f t="shared" ref="S309:S318" si="187">S308+R309</f>
        <v>-1459</v>
      </c>
      <c r="T309" s="177"/>
      <c r="U309" s="136"/>
      <c r="V309" s="45">
        <f t="shared" ref="V309:V318" si="188">V308+U309</f>
        <v>-1459</v>
      </c>
      <c r="W309" s="143"/>
    </row>
    <row r="310" spans="1:23" ht="15.75" customHeight="1">
      <c r="A310" s="114"/>
      <c r="B310" s="118"/>
      <c r="C310" s="117"/>
      <c r="D310" s="45">
        <f t="shared" si="182"/>
        <v>-1459</v>
      </c>
      <c r="E310" s="106"/>
      <c r="F310" s="107"/>
      <c r="G310" s="26">
        <f t="shared" si="183"/>
        <v>-1459</v>
      </c>
      <c r="H310" s="133"/>
      <c r="I310" s="117"/>
      <c r="J310" s="19">
        <f t="shared" si="184"/>
        <v>-1459</v>
      </c>
      <c r="K310" s="116"/>
      <c r="L310" s="107"/>
      <c r="M310" s="26">
        <f t="shared" si="185"/>
        <v>-1459</v>
      </c>
      <c r="N310" s="117"/>
      <c r="O310" s="117"/>
      <c r="P310" s="38">
        <f t="shared" si="186"/>
        <v>-1459</v>
      </c>
      <c r="Q310" s="106"/>
      <c r="R310" s="107"/>
      <c r="S310" s="26">
        <f t="shared" si="187"/>
        <v>-1459</v>
      </c>
      <c r="T310" s="177"/>
      <c r="U310" s="136"/>
      <c r="V310" s="45">
        <f t="shared" si="188"/>
        <v>-1459</v>
      </c>
      <c r="W310" s="143"/>
    </row>
    <row r="311" spans="1:23" ht="15.75" customHeight="1">
      <c r="A311" s="114"/>
      <c r="B311" s="118"/>
      <c r="C311" s="117"/>
      <c r="D311" s="45">
        <f t="shared" si="182"/>
        <v>-1459</v>
      </c>
      <c r="E311" s="106"/>
      <c r="F311" s="107"/>
      <c r="G311" s="26">
        <f t="shared" si="183"/>
        <v>-1459</v>
      </c>
      <c r="H311" s="133"/>
      <c r="I311" s="117"/>
      <c r="J311" s="19">
        <f t="shared" si="184"/>
        <v>-1459</v>
      </c>
      <c r="K311" s="116"/>
      <c r="L311" s="107"/>
      <c r="M311" s="26">
        <f t="shared" si="185"/>
        <v>-1459</v>
      </c>
      <c r="N311" s="117"/>
      <c r="O311" s="117"/>
      <c r="P311" s="38">
        <f t="shared" si="186"/>
        <v>-1459</v>
      </c>
      <c r="Q311" s="106"/>
      <c r="R311" s="107"/>
      <c r="S311" s="26">
        <f t="shared" si="187"/>
        <v>-1459</v>
      </c>
      <c r="T311" s="177"/>
      <c r="U311" s="136"/>
      <c r="V311" s="45">
        <f t="shared" si="188"/>
        <v>-1459</v>
      </c>
      <c r="W311" s="143"/>
    </row>
    <row r="312" spans="1:23" ht="15.75" customHeight="1">
      <c r="A312" s="114"/>
      <c r="B312" s="118"/>
      <c r="C312" s="117"/>
      <c r="D312" s="45">
        <f t="shared" si="182"/>
        <v>-1459</v>
      </c>
      <c r="E312" s="106"/>
      <c r="F312" s="107"/>
      <c r="G312" s="26">
        <f t="shared" si="183"/>
        <v>-1459</v>
      </c>
      <c r="H312" s="133"/>
      <c r="I312" s="117"/>
      <c r="J312" s="19">
        <f t="shared" si="184"/>
        <v>-1459</v>
      </c>
      <c r="K312" s="116"/>
      <c r="L312" s="107"/>
      <c r="M312" s="26">
        <f t="shared" si="185"/>
        <v>-1459</v>
      </c>
      <c r="N312" s="117"/>
      <c r="O312" s="117"/>
      <c r="P312" s="38">
        <f t="shared" si="186"/>
        <v>-1459</v>
      </c>
      <c r="Q312" s="106"/>
      <c r="R312" s="107"/>
      <c r="S312" s="26">
        <f t="shared" si="187"/>
        <v>-1459</v>
      </c>
      <c r="T312" s="177"/>
      <c r="U312" s="136"/>
      <c r="V312" s="45">
        <f t="shared" si="188"/>
        <v>-1459</v>
      </c>
      <c r="W312" s="143"/>
    </row>
    <row r="313" spans="1:23" ht="15.75" customHeight="1">
      <c r="A313" s="114"/>
      <c r="B313" s="118"/>
      <c r="C313" s="117"/>
      <c r="D313" s="45">
        <f t="shared" si="182"/>
        <v>-1459</v>
      </c>
      <c r="E313" s="106"/>
      <c r="F313" s="107"/>
      <c r="G313" s="26">
        <f t="shared" si="183"/>
        <v>-1459</v>
      </c>
      <c r="H313" s="133"/>
      <c r="I313" s="117"/>
      <c r="J313" s="19">
        <f t="shared" si="184"/>
        <v>-1459</v>
      </c>
      <c r="K313" s="116"/>
      <c r="L313" s="107"/>
      <c r="M313" s="26">
        <f t="shared" si="185"/>
        <v>-1459</v>
      </c>
      <c r="N313" s="117"/>
      <c r="O313" s="117"/>
      <c r="P313" s="38">
        <f t="shared" si="186"/>
        <v>-1459</v>
      </c>
      <c r="Q313" s="106"/>
      <c r="R313" s="107"/>
      <c r="S313" s="26">
        <f t="shared" si="187"/>
        <v>-1459</v>
      </c>
      <c r="T313" s="177"/>
      <c r="U313" s="136"/>
      <c r="V313" s="45">
        <f t="shared" si="188"/>
        <v>-1459</v>
      </c>
      <c r="W313" s="143"/>
    </row>
    <row r="314" spans="1:23" ht="15.75" customHeight="1">
      <c r="A314" s="114"/>
      <c r="B314" s="117"/>
      <c r="C314" s="117"/>
      <c r="D314" s="45">
        <f t="shared" si="182"/>
        <v>-1459</v>
      </c>
      <c r="E314" s="106"/>
      <c r="F314" s="107"/>
      <c r="G314" s="26">
        <f t="shared" si="183"/>
        <v>-1459</v>
      </c>
      <c r="H314" s="133"/>
      <c r="I314" s="117"/>
      <c r="J314" s="19">
        <f t="shared" si="184"/>
        <v>-1459</v>
      </c>
      <c r="K314" s="106"/>
      <c r="L314" s="107"/>
      <c r="M314" s="26">
        <f t="shared" si="185"/>
        <v>-1459</v>
      </c>
      <c r="N314" s="117"/>
      <c r="O314" s="117"/>
      <c r="P314" s="38">
        <f t="shared" si="186"/>
        <v>-1459</v>
      </c>
      <c r="Q314" s="106"/>
      <c r="R314" s="107"/>
      <c r="S314" s="26">
        <f t="shared" si="187"/>
        <v>-1459</v>
      </c>
      <c r="T314" s="177"/>
      <c r="U314" s="136"/>
      <c r="V314" s="45">
        <f t="shared" si="188"/>
        <v>-1459</v>
      </c>
      <c r="W314" s="143"/>
    </row>
    <row r="315" spans="1:23" ht="15.75" customHeight="1">
      <c r="A315" s="114"/>
      <c r="B315" s="117"/>
      <c r="C315" s="117"/>
      <c r="D315" s="45">
        <f t="shared" si="182"/>
        <v>-1459</v>
      </c>
      <c r="E315" s="106"/>
      <c r="F315" s="107"/>
      <c r="G315" s="26">
        <f t="shared" si="183"/>
        <v>-1459</v>
      </c>
      <c r="H315" s="133"/>
      <c r="I315" s="117"/>
      <c r="J315" s="19">
        <f t="shared" si="184"/>
        <v>-1459</v>
      </c>
      <c r="K315" s="106"/>
      <c r="L315" s="107"/>
      <c r="M315" s="26">
        <f t="shared" si="185"/>
        <v>-1459</v>
      </c>
      <c r="N315" s="117"/>
      <c r="O315" s="117"/>
      <c r="P315" s="38">
        <f t="shared" si="186"/>
        <v>-1459</v>
      </c>
      <c r="Q315" s="106"/>
      <c r="R315" s="107"/>
      <c r="S315" s="26">
        <f t="shared" si="187"/>
        <v>-1459</v>
      </c>
      <c r="T315" s="177"/>
      <c r="U315" s="136"/>
      <c r="V315" s="45">
        <f t="shared" si="188"/>
        <v>-1459</v>
      </c>
      <c r="W315" s="143"/>
    </row>
    <row r="316" spans="1:23" ht="15.75" customHeight="1">
      <c r="A316" s="114"/>
      <c r="B316" s="117"/>
      <c r="C316" s="117"/>
      <c r="D316" s="45">
        <f t="shared" si="182"/>
        <v>-1459</v>
      </c>
      <c r="E316" s="106"/>
      <c r="F316" s="107"/>
      <c r="G316" s="26">
        <f t="shared" si="183"/>
        <v>-1459</v>
      </c>
      <c r="H316" s="133"/>
      <c r="I316" s="117"/>
      <c r="J316" s="19">
        <f t="shared" si="184"/>
        <v>-1459</v>
      </c>
      <c r="K316" s="106"/>
      <c r="L316" s="107"/>
      <c r="M316" s="26">
        <f t="shared" si="185"/>
        <v>-1459</v>
      </c>
      <c r="N316" s="117"/>
      <c r="O316" s="117"/>
      <c r="P316" s="38">
        <f t="shared" si="186"/>
        <v>-1459</v>
      </c>
      <c r="Q316" s="106"/>
      <c r="R316" s="107"/>
      <c r="S316" s="26">
        <f t="shared" si="187"/>
        <v>-1459</v>
      </c>
      <c r="T316" s="177"/>
      <c r="U316" s="136"/>
      <c r="V316" s="45">
        <f t="shared" si="188"/>
        <v>-1459</v>
      </c>
      <c r="W316" s="143"/>
    </row>
    <row r="317" spans="1:23" ht="15.75" customHeight="1">
      <c r="A317" s="114"/>
      <c r="B317" s="117"/>
      <c r="C317" s="117"/>
      <c r="D317" s="45">
        <f t="shared" si="182"/>
        <v>-1459</v>
      </c>
      <c r="E317" s="122"/>
      <c r="F317" s="123"/>
      <c r="G317" s="26">
        <f t="shared" si="183"/>
        <v>-1459</v>
      </c>
      <c r="H317" s="133"/>
      <c r="I317" s="117"/>
      <c r="J317" s="19">
        <f t="shared" si="184"/>
        <v>-1459</v>
      </c>
      <c r="K317" s="122"/>
      <c r="L317" s="123"/>
      <c r="M317" s="26">
        <f t="shared" si="185"/>
        <v>-1459</v>
      </c>
      <c r="N317" s="117"/>
      <c r="O317" s="117"/>
      <c r="P317" s="38">
        <f t="shared" si="186"/>
        <v>-1459</v>
      </c>
      <c r="Q317" s="122"/>
      <c r="R317" s="123"/>
      <c r="S317" s="26">
        <f t="shared" si="187"/>
        <v>-1459</v>
      </c>
      <c r="T317" s="177"/>
      <c r="U317" s="136"/>
      <c r="V317" s="45">
        <f t="shared" si="188"/>
        <v>-1459</v>
      </c>
      <c r="W317" s="143"/>
    </row>
    <row r="318" spans="1:23" ht="15.75" customHeight="1">
      <c r="A318" s="114"/>
      <c r="B318" s="128"/>
      <c r="C318" s="128"/>
      <c r="D318" s="46">
        <f t="shared" si="182"/>
        <v>-1459</v>
      </c>
      <c r="E318" s="122"/>
      <c r="F318" s="123"/>
      <c r="G318" s="39">
        <f t="shared" si="183"/>
        <v>-1459</v>
      </c>
      <c r="H318" s="140"/>
      <c r="I318" s="128"/>
      <c r="J318" s="29">
        <f t="shared" si="184"/>
        <v>-1459</v>
      </c>
      <c r="K318" s="122"/>
      <c r="L318" s="123"/>
      <c r="M318" s="39">
        <f t="shared" si="185"/>
        <v>-1459</v>
      </c>
      <c r="N318" s="128"/>
      <c r="O318" s="128"/>
      <c r="P318" s="40">
        <f t="shared" si="186"/>
        <v>-1459</v>
      </c>
      <c r="Q318" s="122"/>
      <c r="R318" s="123"/>
      <c r="S318" s="39">
        <f t="shared" si="187"/>
        <v>-1459</v>
      </c>
      <c r="T318" s="178"/>
      <c r="U318" s="141"/>
      <c r="V318" s="46">
        <f t="shared" si="188"/>
        <v>-1459</v>
      </c>
      <c r="W318" s="143"/>
    </row>
    <row r="319" spans="1:23" ht="15.75" customHeight="1">
      <c r="A319" s="87"/>
      <c r="B319" s="77">
        <f ca="1">IFERROR(__xludf.DUMMYFUNCTION("DATE(VALUE(LEFT($B$2,4)),VALUE(MID($B$2,6,2)),VALUE(RIGHT($B$2,2)))
+ (VALUE(REGEXEXTRACT(INDIRECT(""A""&amp;ROW()+1),""\d+""))-1)*7
+ INT((COLUMN()-COLUMN($B319))/3)
"),46208)</f>
        <v>46208</v>
      </c>
      <c r="C319" s="81"/>
      <c r="D319" s="82"/>
      <c r="E319" s="77">
        <f ca="1">IFERROR(__xludf.DUMMYFUNCTION("DATE(VALUE(LEFT($B$2,4)),VALUE(MID($B$2,6,2)),VALUE(RIGHT($B$2,2)))
+ (VALUE(REGEXEXTRACT(INDIRECT(""A""&amp;ROW()+1),""\d+""))-1)*7
+ INT((COLUMN()-COLUMN($B319))/3)
"),46209)</f>
        <v>46209</v>
      </c>
      <c r="F319" s="81"/>
      <c r="G319" s="82"/>
      <c r="H319" s="77">
        <f ca="1">IFERROR(__xludf.DUMMYFUNCTION("DATE(VALUE(LEFT($B$2,4)),VALUE(MID($B$2,6,2)),VALUE(RIGHT($B$2,2)))
+ (VALUE(REGEXEXTRACT(INDIRECT(""A""&amp;ROW()+1),""\d+""))-1)*7
+ INT((COLUMN()-COLUMN($B319))/3)
"),46210)</f>
        <v>46210</v>
      </c>
      <c r="I319" s="81"/>
      <c r="J319" s="82"/>
      <c r="K319" s="77">
        <f ca="1">IFERROR(__xludf.DUMMYFUNCTION("DATE(VALUE(LEFT($B$2,4)),VALUE(MID($B$2,6,2)),VALUE(RIGHT($B$2,2)))
+ (VALUE(REGEXEXTRACT(INDIRECT(""A""&amp;ROW()+1),""\d+""))-1)*7
+ INT((COLUMN()-COLUMN($B319))/3)
"),46211)</f>
        <v>46211</v>
      </c>
      <c r="L319" s="81"/>
      <c r="M319" s="82"/>
      <c r="N319" s="77">
        <f ca="1">IFERROR(__xludf.DUMMYFUNCTION("DATE(VALUE(LEFT($B$2,4)),VALUE(MID($B$2,6,2)),VALUE(RIGHT($B$2,2)))
+ (VALUE(REGEXEXTRACT(INDIRECT(""A""&amp;ROW()+1),""\d+""))-1)*7
+ INT((COLUMN()-COLUMN($B319))/3)
"),46212)</f>
        <v>46212</v>
      </c>
      <c r="O319" s="81"/>
      <c r="P319" s="82"/>
      <c r="Q319" s="77">
        <f ca="1">IFERROR(__xludf.DUMMYFUNCTION("DATE(VALUE(LEFT($B$2,4)),VALUE(MID($B$2,6,2)),VALUE(RIGHT($B$2,2)))
+ (VALUE(REGEXEXTRACT(INDIRECT(""A""&amp;ROW()+1),""\d+""))-1)*7
+ INT((COLUMN()-COLUMN($B319))/3)
"),46213)</f>
        <v>46213</v>
      </c>
      <c r="R319" s="81"/>
      <c r="S319" s="82"/>
      <c r="T319" s="77">
        <f ca="1">IFERROR(__xludf.DUMMYFUNCTION("DATE(VALUE(LEFT($B$2,4)),VALUE(MID($B$2,6,2)),VALUE(RIGHT($B$2,2)))
+ (VALUE(REGEXEXTRACT(INDIRECT(""A""&amp;ROW()+1),""\d+""))-1)*7
+ INT((COLUMN()-COLUMN($B319))/3)
"),46214)</f>
        <v>46214</v>
      </c>
      <c r="U319" s="81"/>
      <c r="V319" s="82"/>
      <c r="W319" s="143"/>
    </row>
    <row r="320" spans="1:23" ht="15.75" customHeight="1">
      <c r="A320" s="51" t="s">
        <v>156</v>
      </c>
      <c r="B320" s="112"/>
      <c r="C320" s="111"/>
      <c r="D320" s="48">
        <f>V318+C320</f>
        <v>-1459</v>
      </c>
      <c r="E320" s="113"/>
      <c r="F320" s="109"/>
      <c r="G320" s="42">
        <f>D330+F320</f>
        <v>-1459</v>
      </c>
      <c r="H320" s="110"/>
      <c r="I320" s="111"/>
      <c r="J320" s="17">
        <f>G330+I320</f>
        <v>-1459</v>
      </c>
      <c r="K320" s="109"/>
      <c r="L320" s="109"/>
      <c r="M320" s="35">
        <f>J330+L320</f>
        <v>-1459</v>
      </c>
      <c r="N320" s="112"/>
      <c r="O320" s="111"/>
      <c r="P320" s="17">
        <f>M330+O320</f>
        <v>-1459</v>
      </c>
      <c r="Q320" s="109"/>
      <c r="R320" s="109"/>
      <c r="S320" s="42">
        <f>P330+R320</f>
        <v>-1459</v>
      </c>
      <c r="T320" s="110"/>
      <c r="U320" s="111"/>
      <c r="V320" s="48">
        <f>S330+U320</f>
        <v>-1459</v>
      </c>
      <c r="W320" s="143"/>
    </row>
    <row r="321" spans="1:23" ht="15.75" customHeight="1">
      <c r="A321" s="114"/>
      <c r="B321" s="106"/>
      <c r="C321" s="107"/>
      <c r="D321" s="20">
        <f t="shared" ref="D321:D330" si="189">D320+C321</f>
        <v>-1459</v>
      </c>
      <c r="E321" s="118"/>
      <c r="F321" s="117"/>
      <c r="G321" s="19">
        <f t="shared" ref="G321:G330" si="190">G320+F321</f>
        <v>-1459</v>
      </c>
      <c r="H321" s="116"/>
      <c r="I321" s="107"/>
      <c r="J321" s="26">
        <f t="shared" ref="J321:J330" si="191">J320+I321</f>
        <v>-1459</v>
      </c>
      <c r="K321" s="117"/>
      <c r="L321" s="117"/>
      <c r="M321" s="38">
        <f t="shared" ref="M321:M330" si="192">M320+L321</f>
        <v>-1459</v>
      </c>
      <c r="N321" s="106"/>
      <c r="O321" s="107"/>
      <c r="P321" s="26">
        <f t="shared" ref="P321:P330" si="193">P320+O321</f>
        <v>-1459</v>
      </c>
      <c r="Q321" s="117"/>
      <c r="R321" s="117"/>
      <c r="S321" s="19">
        <f t="shared" ref="S321:S330" si="194">S320+R321</f>
        <v>-1459</v>
      </c>
      <c r="T321" s="116"/>
      <c r="U321" s="107"/>
      <c r="V321" s="20">
        <f t="shared" ref="V321:V330" si="195">V320+U321</f>
        <v>-1459</v>
      </c>
      <c r="W321" s="143"/>
    </row>
    <row r="322" spans="1:23" ht="15.75" customHeight="1">
      <c r="A322" s="114"/>
      <c r="B322" s="106"/>
      <c r="C322" s="107"/>
      <c r="D322" s="20">
        <f t="shared" si="189"/>
        <v>-1459</v>
      </c>
      <c r="E322" s="118"/>
      <c r="F322" s="117"/>
      <c r="G322" s="19">
        <f t="shared" si="190"/>
        <v>-1459</v>
      </c>
      <c r="H322" s="116"/>
      <c r="I322" s="107"/>
      <c r="J322" s="26">
        <f t="shared" si="191"/>
        <v>-1459</v>
      </c>
      <c r="K322" s="117"/>
      <c r="L322" s="117"/>
      <c r="M322" s="38">
        <f t="shared" si="192"/>
        <v>-1459</v>
      </c>
      <c r="N322" s="106"/>
      <c r="O322" s="107"/>
      <c r="P322" s="26">
        <f t="shared" si="193"/>
        <v>-1459</v>
      </c>
      <c r="Q322" s="117"/>
      <c r="R322" s="117"/>
      <c r="S322" s="19">
        <f t="shared" si="194"/>
        <v>-1459</v>
      </c>
      <c r="T322" s="116"/>
      <c r="U322" s="107"/>
      <c r="V322" s="20">
        <f t="shared" si="195"/>
        <v>-1459</v>
      </c>
      <c r="W322" s="143"/>
    </row>
    <row r="323" spans="1:23" ht="15.75" customHeight="1">
      <c r="A323" s="114"/>
      <c r="B323" s="106"/>
      <c r="C323" s="107"/>
      <c r="D323" s="20">
        <f t="shared" si="189"/>
        <v>-1459</v>
      </c>
      <c r="E323" s="118"/>
      <c r="F323" s="117"/>
      <c r="G323" s="19">
        <f t="shared" si="190"/>
        <v>-1459</v>
      </c>
      <c r="H323" s="116"/>
      <c r="I323" s="107"/>
      <c r="J323" s="26">
        <f t="shared" si="191"/>
        <v>-1459</v>
      </c>
      <c r="K323" s="117"/>
      <c r="L323" s="117"/>
      <c r="M323" s="38">
        <f t="shared" si="192"/>
        <v>-1459</v>
      </c>
      <c r="N323" s="106"/>
      <c r="O323" s="107"/>
      <c r="P323" s="26">
        <f t="shared" si="193"/>
        <v>-1459</v>
      </c>
      <c r="Q323" s="117"/>
      <c r="R323" s="117"/>
      <c r="S323" s="19">
        <f t="shared" si="194"/>
        <v>-1459</v>
      </c>
      <c r="T323" s="116"/>
      <c r="U323" s="107"/>
      <c r="V323" s="20">
        <f t="shared" si="195"/>
        <v>-1459</v>
      </c>
      <c r="W323" s="143"/>
    </row>
    <row r="324" spans="1:23" ht="15.75" customHeight="1">
      <c r="A324" s="114"/>
      <c r="B324" s="106"/>
      <c r="C324" s="107"/>
      <c r="D324" s="20">
        <f t="shared" si="189"/>
        <v>-1459</v>
      </c>
      <c r="E324" s="118"/>
      <c r="F324" s="117"/>
      <c r="G324" s="19">
        <f t="shared" si="190"/>
        <v>-1459</v>
      </c>
      <c r="H324" s="116"/>
      <c r="I324" s="107"/>
      <c r="J324" s="26">
        <f t="shared" si="191"/>
        <v>-1459</v>
      </c>
      <c r="K324" s="117"/>
      <c r="L324" s="117"/>
      <c r="M324" s="38">
        <f t="shared" si="192"/>
        <v>-1459</v>
      </c>
      <c r="N324" s="106"/>
      <c r="O324" s="107"/>
      <c r="P324" s="26">
        <f t="shared" si="193"/>
        <v>-1459</v>
      </c>
      <c r="Q324" s="117"/>
      <c r="R324" s="117"/>
      <c r="S324" s="19">
        <f t="shared" si="194"/>
        <v>-1459</v>
      </c>
      <c r="T324" s="116"/>
      <c r="U324" s="107"/>
      <c r="V324" s="20">
        <f t="shared" si="195"/>
        <v>-1459</v>
      </c>
      <c r="W324" s="143"/>
    </row>
    <row r="325" spans="1:23" ht="15.75" customHeight="1">
      <c r="A325" s="114"/>
      <c r="B325" s="106"/>
      <c r="C325" s="107"/>
      <c r="D325" s="20">
        <f t="shared" si="189"/>
        <v>-1459</v>
      </c>
      <c r="E325" s="118"/>
      <c r="F325" s="117"/>
      <c r="G325" s="19">
        <f t="shared" si="190"/>
        <v>-1459</v>
      </c>
      <c r="H325" s="116"/>
      <c r="I325" s="107"/>
      <c r="J325" s="26">
        <f t="shared" si="191"/>
        <v>-1459</v>
      </c>
      <c r="K325" s="117"/>
      <c r="L325" s="117"/>
      <c r="M325" s="38">
        <f t="shared" si="192"/>
        <v>-1459</v>
      </c>
      <c r="N325" s="106"/>
      <c r="O325" s="107"/>
      <c r="P325" s="26">
        <f t="shared" si="193"/>
        <v>-1459</v>
      </c>
      <c r="Q325" s="117"/>
      <c r="R325" s="117"/>
      <c r="S325" s="19">
        <f t="shared" si="194"/>
        <v>-1459</v>
      </c>
      <c r="T325" s="116"/>
      <c r="U325" s="107"/>
      <c r="V325" s="20">
        <f t="shared" si="195"/>
        <v>-1459</v>
      </c>
      <c r="W325" s="143"/>
    </row>
    <row r="326" spans="1:23" ht="15.75" customHeight="1">
      <c r="A326" s="114"/>
      <c r="B326" s="106"/>
      <c r="C326" s="107"/>
      <c r="D326" s="20">
        <f t="shared" si="189"/>
        <v>-1459</v>
      </c>
      <c r="E326" s="118"/>
      <c r="F326" s="117"/>
      <c r="G326" s="19">
        <f t="shared" si="190"/>
        <v>-1459</v>
      </c>
      <c r="H326" s="116"/>
      <c r="I326" s="107"/>
      <c r="J326" s="26">
        <f t="shared" si="191"/>
        <v>-1459</v>
      </c>
      <c r="K326" s="117"/>
      <c r="L326" s="117"/>
      <c r="M326" s="38">
        <f t="shared" si="192"/>
        <v>-1459</v>
      </c>
      <c r="N326" s="106"/>
      <c r="O326" s="107"/>
      <c r="P326" s="26">
        <f t="shared" si="193"/>
        <v>-1459</v>
      </c>
      <c r="Q326" s="117"/>
      <c r="R326" s="117"/>
      <c r="S326" s="19">
        <f t="shared" si="194"/>
        <v>-1459</v>
      </c>
      <c r="T326" s="116"/>
      <c r="U326" s="107"/>
      <c r="V326" s="20">
        <f t="shared" si="195"/>
        <v>-1459</v>
      </c>
      <c r="W326" s="143"/>
    </row>
    <row r="327" spans="1:23" ht="15.75" customHeight="1">
      <c r="A327" s="114"/>
      <c r="B327" s="106"/>
      <c r="C327" s="107"/>
      <c r="D327" s="20">
        <f t="shared" si="189"/>
        <v>-1459</v>
      </c>
      <c r="E327" s="118"/>
      <c r="F327" s="117"/>
      <c r="G327" s="19">
        <f t="shared" si="190"/>
        <v>-1459</v>
      </c>
      <c r="H327" s="116"/>
      <c r="I327" s="107"/>
      <c r="J327" s="26">
        <f t="shared" si="191"/>
        <v>-1459</v>
      </c>
      <c r="K327" s="117"/>
      <c r="L327" s="117"/>
      <c r="M327" s="38">
        <f t="shared" si="192"/>
        <v>-1459</v>
      </c>
      <c r="N327" s="106"/>
      <c r="O327" s="107"/>
      <c r="P327" s="26">
        <f t="shared" si="193"/>
        <v>-1459</v>
      </c>
      <c r="Q327" s="117"/>
      <c r="R327" s="117"/>
      <c r="S327" s="19">
        <f t="shared" si="194"/>
        <v>-1459</v>
      </c>
      <c r="T327" s="116"/>
      <c r="U327" s="107"/>
      <c r="V327" s="20">
        <f t="shared" si="195"/>
        <v>-1459</v>
      </c>
      <c r="W327" s="143"/>
    </row>
    <row r="328" spans="1:23" ht="15.75" customHeight="1">
      <c r="A328" s="114"/>
      <c r="B328" s="122"/>
      <c r="C328" s="123"/>
      <c r="D328" s="20">
        <f t="shared" si="189"/>
        <v>-1459</v>
      </c>
      <c r="E328" s="118"/>
      <c r="F328" s="117"/>
      <c r="G328" s="19">
        <f t="shared" si="190"/>
        <v>-1459</v>
      </c>
      <c r="H328" s="124"/>
      <c r="I328" s="123"/>
      <c r="J328" s="26">
        <f t="shared" si="191"/>
        <v>-1459</v>
      </c>
      <c r="K328" s="117"/>
      <c r="L328" s="117"/>
      <c r="M328" s="38">
        <f t="shared" si="192"/>
        <v>-1459</v>
      </c>
      <c r="N328" s="122"/>
      <c r="O328" s="123"/>
      <c r="P328" s="26">
        <f t="shared" si="193"/>
        <v>-1459</v>
      </c>
      <c r="Q328" s="117"/>
      <c r="R328" s="117"/>
      <c r="S328" s="19">
        <f t="shared" si="194"/>
        <v>-1459</v>
      </c>
      <c r="T328" s="116"/>
      <c r="U328" s="107"/>
      <c r="V328" s="20">
        <f t="shared" si="195"/>
        <v>-1459</v>
      </c>
      <c r="W328" s="143"/>
    </row>
    <row r="329" spans="1:23" ht="15.75" customHeight="1">
      <c r="A329" s="114"/>
      <c r="B329" s="122"/>
      <c r="C329" s="123"/>
      <c r="D329" s="20">
        <f t="shared" si="189"/>
        <v>-1459</v>
      </c>
      <c r="E329" s="118"/>
      <c r="F329" s="117"/>
      <c r="G329" s="19">
        <f t="shared" si="190"/>
        <v>-1459</v>
      </c>
      <c r="H329" s="124"/>
      <c r="I329" s="123"/>
      <c r="J329" s="26">
        <f t="shared" si="191"/>
        <v>-1459</v>
      </c>
      <c r="K329" s="117"/>
      <c r="L329" s="117"/>
      <c r="M329" s="38">
        <f t="shared" si="192"/>
        <v>-1459</v>
      </c>
      <c r="N329" s="122"/>
      <c r="O329" s="123"/>
      <c r="P329" s="26">
        <f t="shared" si="193"/>
        <v>-1459</v>
      </c>
      <c r="Q329" s="117"/>
      <c r="R329" s="117"/>
      <c r="S329" s="19">
        <f t="shared" si="194"/>
        <v>-1459</v>
      </c>
      <c r="T329" s="124"/>
      <c r="U329" s="124"/>
      <c r="V329" s="20">
        <f t="shared" si="195"/>
        <v>-1459</v>
      </c>
      <c r="W329" s="143"/>
    </row>
    <row r="330" spans="1:23" ht="15.75" customHeight="1">
      <c r="A330" s="114"/>
      <c r="B330" s="122"/>
      <c r="C330" s="123"/>
      <c r="D330" s="49">
        <f t="shared" si="189"/>
        <v>-1459</v>
      </c>
      <c r="E330" s="154"/>
      <c r="F330" s="128"/>
      <c r="G330" s="29">
        <f t="shared" si="190"/>
        <v>-1459</v>
      </c>
      <c r="H330" s="124"/>
      <c r="I330" s="123"/>
      <c r="J330" s="39">
        <f t="shared" si="191"/>
        <v>-1459</v>
      </c>
      <c r="K330" s="128"/>
      <c r="L330" s="128"/>
      <c r="M330" s="40">
        <f t="shared" si="192"/>
        <v>-1459</v>
      </c>
      <c r="N330" s="122"/>
      <c r="O330" s="123"/>
      <c r="P330" s="39">
        <f t="shared" si="193"/>
        <v>-1459</v>
      </c>
      <c r="Q330" s="128"/>
      <c r="R330" s="128"/>
      <c r="S330" s="29">
        <f t="shared" si="194"/>
        <v>-1459</v>
      </c>
      <c r="T330" s="124"/>
      <c r="U330" s="123"/>
      <c r="V330" s="49">
        <f t="shared" si="195"/>
        <v>-1459</v>
      </c>
      <c r="W330" s="143"/>
    </row>
    <row r="331" spans="1:23" ht="15.75" customHeight="1">
      <c r="A331" s="87"/>
      <c r="B331" s="77">
        <f ca="1">IFERROR(__xludf.DUMMYFUNCTION("DATE(VALUE(LEFT($B$2,4)),VALUE(MID($B$2,6,2)),VALUE(RIGHT($B$2,2)))
+ (VALUE(REGEXEXTRACT(INDIRECT(""A""&amp;ROW()+1),""\d+""))-1)*7
+ INT((COLUMN()-COLUMN($B331))/3)
"),46215)</f>
        <v>46215</v>
      </c>
      <c r="C331" s="81"/>
      <c r="D331" s="82"/>
      <c r="E331" s="77">
        <f ca="1">IFERROR(__xludf.DUMMYFUNCTION("DATE(VALUE(LEFT($B$2,4)),VALUE(MID($B$2,6,2)),VALUE(RIGHT($B$2,2)))
+ (VALUE(REGEXEXTRACT(INDIRECT(""A""&amp;ROW()+1),""\d+""))-1)*7
+ INT((COLUMN()-COLUMN($B331))/3)
"),46216)</f>
        <v>46216</v>
      </c>
      <c r="F331" s="81"/>
      <c r="G331" s="82"/>
      <c r="H331" s="77">
        <f ca="1">IFERROR(__xludf.DUMMYFUNCTION("DATE(VALUE(LEFT($B$2,4)),VALUE(MID($B$2,6,2)),VALUE(RIGHT($B$2,2)))
+ (VALUE(REGEXEXTRACT(INDIRECT(""A""&amp;ROW()+1),""\d+""))-1)*7
+ INT((COLUMN()-COLUMN($B331))/3)
"),46217)</f>
        <v>46217</v>
      </c>
      <c r="I331" s="81"/>
      <c r="J331" s="82"/>
      <c r="K331" s="77">
        <f ca="1">IFERROR(__xludf.DUMMYFUNCTION("DATE(VALUE(LEFT($B$2,4)),VALUE(MID($B$2,6,2)),VALUE(RIGHT($B$2,2)))
+ (VALUE(REGEXEXTRACT(INDIRECT(""A""&amp;ROW()+1),""\d+""))-1)*7
+ INT((COLUMN()-COLUMN($B331))/3)
"),46218)</f>
        <v>46218</v>
      </c>
      <c r="L331" s="81"/>
      <c r="M331" s="82"/>
      <c r="N331" s="77">
        <f ca="1">IFERROR(__xludf.DUMMYFUNCTION("DATE(VALUE(LEFT($B$2,4)),VALUE(MID($B$2,6,2)),VALUE(RIGHT($B$2,2)))
+ (VALUE(REGEXEXTRACT(INDIRECT(""A""&amp;ROW()+1),""\d+""))-1)*7
+ INT((COLUMN()-COLUMN($B331))/3)
"),46219)</f>
        <v>46219</v>
      </c>
      <c r="O331" s="81"/>
      <c r="P331" s="82"/>
      <c r="Q331" s="77">
        <f ca="1">IFERROR(__xludf.DUMMYFUNCTION("DATE(VALUE(LEFT($B$2,4)),VALUE(MID($B$2,6,2)),VALUE(RIGHT($B$2,2)))
+ (VALUE(REGEXEXTRACT(INDIRECT(""A""&amp;ROW()+1),""\d+""))-1)*7
+ INT((COLUMN()-COLUMN($B331))/3)
"),46220)</f>
        <v>46220</v>
      </c>
      <c r="R331" s="81"/>
      <c r="S331" s="82"/>
      <c r="T331" s="77">
        <f ca="1">IFERROR(__xludf.DUMMYFUNCTION("DATE(VALUE(LEFT($B$2,4)),VALUE(MID($B$2,6,2)),VALUE(RIGHT($B$2,2)))
+ (VALUE(REGEXEXTRACT(INDIRECT(""A""&amp;ROW()+1),""\d+""))-1)*7
+ INT((COLUMN()-COLUMN($B331))/3)
"),46221)</f>
        <v>46221</v>
      </c>
      <c r="U331" s="81"/>
      <c r="V331" s="82"/>
      <c r="W331" s="52" t="s">
        <v>20</v>
      </c>
    </row>
    <row r="332" spans="1:23" ht="15.75" customHeight="1">
      <c r="A332" s="47" t="s">
        <v>157</v>
      </c>
      <c r="B332" s="113"/>
      <c r="C332" s="109"/>
      <c r="D332" s="50">
        <f>V330+C332</f>
        <v>-1459</v>
      </c>
      <c r="E332" s="112"/>
      <c r="F332" s="111"/>
      <c r="G332" s="17">
        <f>D342+F332</f>
        <v>-1459</v>
      </c>
      <c r="H332" s="132"/>
      <c r="I332" s="109"/>
      <c r="J332" s="42">
        <f>G342+I332</f>
        <v>-1459</v>
      </c>
      <c r="K332" s="112"/>
      <c r="L332" s="111"/>
      <c r="M332" s="18">
        <f>J342+L332</f>
        <v>-1459</v>
      </c>
      <c r="N332" s="109"/>
      <c r="O332" s="109"/>
      <c r="P332" s="35">
        <f>M342+O332</f>
        <v>-1459</v>
      </c>
      <c r="Q332" s="112"/>
      <c r="R332" s="111"/>
      <c r="S332" s="17">
        <f>P342+R332</f>
        <v>-1459</v>
      </c>
      <c r="T332" s="176"/>
      <c r="U332" s="173"/>
      <c r="V332" s="50">
        <f>S342+U332</f>
        <v>-1459</v>
      </c>
      <c r="W332" s="172"/>
    </row>
    <row r="333" spans="1:23" ht="15.75" customHeight="1">
      <c r="A333" s="114"/>
      <c r="B333" s="118"/>
      <c r="C333" s="117"/>
      <c r="D333" s="45">
        <f t="shared" ref="D333:D342" si="196">D332+C333</f>
        <v>-1459</v>
      </c>
      <c r="E333" s="106"/>
      <c r="F333" s="107"/>
      <c r="G333" s="26">
        <f t="shared" ref="G333:G342" si="197">G332+F333</f>
        <v>-1459</v>
      </c>
      <c r="H333" s="133"/>
      <c r="I333" s="117"/>
      <c r="J333" s="19">
        <f t="shared" ref="J333:J342" si="198">J332+I333</f>
        <v>-1459</v>
      </c>
      <c r="K333" s="106"/>
      <c r="L333" s="107"/>
      <c r="M333" s="26">
        <f t="shared" ref="M333:M342" si="199">M332+L333</f>
        <v>-1459</v>
      </c>
      <c r="N333" s="117"/>
      <c r="O333" s="117"/>
      <c r="P333" s="38">
        <f t="shared" ref="P333:P342" si="200">P332+O333</f>
        <v>-1459</v>
      </c>
      <c r="Q333" s="106"/>
      <c r="R333" s="107"/>
      <c r="S333" s="26">
        <f t="shared" ref="S333:S342" si="201">S332+R333</f>
        <v>-1459</v>
      </c>
      <c r="T333" s="177"/>
      <c r="U333" s="136"/>
      <c r="V333" s="45">
        <f t="shared" ref="V333:V342" si="202">V332+U333</f>
        <v>-1459</v>
      </c>
      <c r="W333" s="143"/>
    </row>
    <row r="334" spans="1:23" ht="15.75" customHeight="1">
      <c r="A334" s="114"/>
      <c r="B334" s="118"/>
      <c r="C334" s="117"/>
      <c r="D334" s="45">
        <f t="shared" si="196"/>
        <v>-1459</v>
      </c>
      <c r="E334" s="106"/>
      <c r="F334" s="107"/>
      <c r="G334" s="26">
        <f t="shared" si="197"/>
        <v>-1459</v>
      </c>
      <c r="H334" s="133"/>
      <c r="I334" s="117"/>
      <c r="J334" s="19">
        <f t="shared" si="198"/>
        <v>-1459</v>
      </c>
      <c r="K334" s="106"/>
      <c r="L334" s="107"/>
      <c r="M334" s="26">
        <f t="shared" si="199"/>
        <v>-1459</v>
      </c>
      <c r="N334" s="117"/>
      <c r="O334" s="117"/>
      <c r="P334" s="38">
        <f t="shared" si="200"/>
        <v>-1459</v>
      </c>
      <c r="Q334" s="106"/>
      <c r="R334" s="107"/>
      <c r="S334" s="26">
        <f t="shared" si="201"/>
        <v>-1459</v>
      </c>
      <c r="T334" s="177"/>
      <c r="U334" s="136"/>
      <c r="V334" s="45">
        <f t="shared" si="202"/>
        <v>-1459</v>
      </c>
      <c r="W334" s="143"/>
    </row>
    <row r="335" spans="1:23" ht="15.75" customHeight="1">
      <c r="A335" s="114"/>
      <c r="B335" s="118"/>
      <c r="C335" s="117"/>
      <c r="D335" s="45">
        <f t="shared" si="196"/>
        <v>-1459</v>
      </c>
      <c r="E335" s="106"/>
      <c r="F335" s="107"/>
      <c r="G335" s="26">
        <f t="shared" si="197"/>
        <v>-1459</v>
      </c>
      <c r="H335" s="133"/>
      <c r="I335" s="117"/>
      <c r="J335" s="19">
        <f t="shared" si="198"/>
        <v>-1459</v>
      </c>
      <c r="K335" s="106"/>
      <c r="L335" s="107"/>
      <c r="M335" s="26">
        <f t="shared" si="199"/>
        <v>-1459</v>
      </c>
      <c r="N335" s="117"/>
      <c r="O335" s="117"/>
      <c r="P335" s="38">
        <f t="shared" si="200"/>
        <v>-1459</v>
      </c>
      <c r="Q335" s="106"/>
      <c r="R335" s="107"/>
      <c r="S335" s="26">
        <f t="shared" si="201"/>
        <v>-1459</v>
      </c>
      <c r="T335" s="177"/>
      <c r="U335" s="136"/>
      <c r="V335" s="45">
        <f t="shared" si="202"/>
        <v>-1459</v>
      </c>
      <c r="W335" s="143"/>
    </row>
    <row r="336" spans="1:23" ht="15.75" customHeight="1">
      <c r="A336" s="114"/>
      <c r="B336" s="118"/>
      <c r="C336" s="117"/>
      <c r="D336" s="45">
        <f t="shared" si="196"/>
        <v>-1459</v>
      </c>
      <c r="E336" s="106"/>
      <c r="F336" s="107"/>
      <c r="G336" s="26">
        <f t="shared" si="197"/>
        <v>-1459</v>
      </c>
      <c r="H336" s="133"/>
      <c r="I336" s="117"/>
      <c r="J336" s="19">
        <f t="shared" si="198"/>
        <v>-1459</v>
      </c>
      <c r="K336" s="106"/>
      <c r="L336" s="107"/>
      <c r="M336" s="26">
        <f t="shared" si="199"/>
        <v>-1459</v>
      </c>
      <c r="N336" s="117"/>
      <c r="O336" s="117"/>
      <c r="P336" s="38">
        <f t="shared" si="200"/>
        <v>-1459</v>
      </c>
      <c r="Q336" s="106"/>
      <c r="R336" s="107"/>
      <c r="S336" s="26">
        <f t="shared" si="201"/>
        <v>-1459</v>
      </c>
      <c r="T336" s="177"/>
      <c r="U336" s="136"/>
      <c r="V336" s="45">
        <f t="shared" si="202"/>
        <v>-1459</v>
      </c>
      <c r="W336" s="143"/>
    </row>
    <row r="337" spans="1:23" ht="15.75" customHeight="1">
      <c r="A337" s="114"/>
      <c r="B337" s="118"/>
      <c r="C337" s="117"/>
      <c r="D337" s="45">
        <f t="shared" si="196"/>
        <v>-1459</v>
      </c>
      <c r="E337" s="106"/>
      <c r="F337" s="107"/>
      <c r="G337" s="26">
        <f t="shared" si="197"/>
        <v>-1459</v>
      </c>
      <c r="H337" s="133"/>
      <c r="I337" s="117"/>
      <c r="J337" s="19">
        <f t="shared" si="198"/>
        <v>-1459</v>
      </c>
      <c r="K337" s="106"/>
      <c r="L337" s="107"/>
      <c r="M337" s="26">
        <f t="shared" si="199"/>
        <v>-1459</v>
      </c>
      <c r="N337" s="117"/>
      <c r="O337" s="117"/>
      <c r="P337" s="38">
        <f t="shared" si="200"/>
        <v>-1459</v>
      </c>
      <c r="Q337" s="106"/>
      <c r="R337" s="107"/>
      <c r="S337" s="26">
        <f t="shared" si="201"/>
        <v>-1459</v>
      </c>
      <c r="T337" s="177"/>
      <c r="U337" s="136"/>
      <c r="V337" s="45">
        <f t="shared" si="202"/>
        <v>-1459</v>
      </c>
      <c r="W337" s="143"/>
    </row>
    <row r="338" spans="1:23" ht="15.75" customHeight="1">
      <c r="A338" s="114"/>
      <c r="B338" s="117"/>
      <c r="C338" s="117"/>
      <c r="D338" s="45">
        <f t="shared" si="196"/>
        <v>-1459</v>
      </c>
      <c r="E338" s="106"/>
      <c r="F338" s="107"/>
      <c r="G338" s="26">
        <f t="shared" si="197"/>
        <v>-1459</v>
      </c>
      <c r="H338" s="133"/>
      <c r="I338" s="117"/>
      <c r="J338" s="19">
        <f t="shared" si="198"/>
        <v>-1459</v>
      </c>
      <c r="K338" s="106"/>
      <c r="L338" s="107"/>
      <c r="M338" s="26">
        <f t="shared" si="199"/>
        <v>-1459</v>
      </c>
      <c r="N338" s="117"/>
      <c r="O338" s="117"/>
      <c r="P338" s="38">
        <f t="shared" si="200"/>
        <v>-1459</v>
      </c>
      <c r="Q338" s="106"/>
      <c r="R338" s="107"/>
      <c r="S338" s="26">
        <f t="shared" si="201"/>
        <v>-1459</v>
      </c>
      <c r="T338" s="177"/>
      <c r="U338" s="136"/>
      <c r="V338" s="45">
        <f t="shared" si="202"/>
        <v>-1459</v>
      </c>
      <c r="W338" s="143"/>
    </row>
    <row r="339" spans="1:23" ht="15.75" customHeight="1">
      <c r="A339" s="114"/>
      <c r="B339" s="117"/>
      <c r="C339" s="117"/>
      <c r="D339" s="45">
        <f t="shared" si="196"/>
        <v>-1459</v>
      </c>
      <c r="E339" s="106"/>
      <c r="F339" s="107"/>
      <c r="G339" s="26">
        <f t="shared" si="197"/>
        <v>-1459</v>
      </c>
      <c r="H339" s="133"/>
      <c r="I339" s="117"/>
      <c r="J339" s="19">
        <f t="shared" si="198"/>
        <v>-1459</v>
      </c>
      <c r="K339" s="106"/>
      <c r="L339" s="107"/>
      <c r="M339" s="26">
        <f t="shared" si="199"/>
        <v>-1459</v>
      </c>
      <c r="N339" s="117"/>
      <c r="O339" s="117"/>
      <c r="P339" s="38">
        <f t="shared" si="200"/>
        <v>-1459</v>
      </c>
      <c r="Q339" s="106"/>
      <c r="R339" s="107"/>
      <c r="S339" s="26">
        <f t="shared" si="201"/>
        <v>-1459</v>
      </c>
      <c r="T339" s="177"/>
      <c r="U339" s="136"/>
      <c r="V339" s="45">
        <f t="shared" si="202"/>
        <v>-1459</v>
      </c>
      <c r="W339" s="143"/>
    </row>
    <row r="340" spans="1:23" ht="15.75" customHeight="1">
      <c r="A340" s="114"/>
      <c r="B340" s="117"/>
      <c r="C340" s="117"/>
      <c r="D340" s="45">
        <f t="shared" si="196"/>
        <v>-1459</v>
      </c>
      <c r="E340" s="106"/>
      <c r="F340" s="107"/>
      <c r="G340" s="26">
        <f t="shared" si="197"/>
        <v>-1459</v>
      </c>
      <c r="H340" s="133"/>
      <c r="I340" s="117"/>
      <c r="J340" s="19">
        <f t="shared" si="198"/>
        <v>-1459</v>
      </c>
      <c r="K340" s="106"/>
      <c r="L340" s="107"/>
      <c r="M340" s="26">
        <f t="shared" si="199"/>
        <v>-1459</v>
      </c>
      <c r="N340" s="117"/>
      <c r="O340" s="117"/>
      <c r="P340" s="38">
        <f t="shared" si="200"/>
        <v>-1459</v>
      </c>
      <c r="Q340" s="106"/>
      <c r="R340" s="107"/>
      <c r="S340" s="26">
        <f t="shared" si="201"/>
        <v>-1459</v>
      </c>
      <c r="T340" s="177"/>
      <c r="U340" s="136"/>
      <c r="V340" s="45">
        <f t="shared" si="202"/>
        <v>-1459</v>
      </c>
      <c r="W340" s="143"/>
    </row>
    <row r="341" spans="1:23" ht="15.75" customHeight="1">
      <c r="A341" s="114"/>
      <c r="B341" s="117"/>
      <c r="C341" s="117"/>
      <c r="D341" s="45">
        <f t="shared" si="196"/>
        <v>-1459</v>
      </c>
      <c r="E341" s="122"/>
      <c r="F341" s="123"/>
      <c r="G341" s="26">
        <f t="shared" si="197"/>
        <v>-1459</v>
      </c>
      <c r="H341" s="133"/>
      <c r="I341" s="117"/>
      <c r="J341" s="19">
        <f t="shared" si="198"/>
        <v>-1459</v>
      </c>
      <c r="K341" s="122"/>
      <c r="L341" s="123"/>
      <c r="M341" s="26">
        <f t="shared" si="199"/>
        <v>-1459</v>
      </c>
      <c r="N341" s="117"/>
      <c r="O341" s="117"/>
      <c r="P341" s="38">
        <f t="shared" si="200"/>
        <v>-1459</v>
      </c>
      <c r="Q341" s="122"/>
      <c r="R341" s="123"/>
      <c r="S341" s="26">
        <f t="shared" si="201"/>
        <v>-1459</v>
      </c>
      <c r="T341" s="177"/>
      <c r="U341" s="136"/>
      <c r="V341" s="45">
        <f t="shared" si="202"/>
        <v>-1459</v>
      </c>
      <c r="W341" s="143"/>
    </row>
    <row r="342" spans="1:23" ht="15.75" customHeight="1">
      <c r="A342" s="114"/>
      <c r="B342" s="128"/>
      <c r="C342" s="128"/>
      <c r="D342" s="46">
        <f t="shared" si="196"/>
        <v>-1459</v>
      </c>
      <c r="E342" s="122"/>
      <c r="F342" s="123"/>
      <c r="G342" s="39">
        <f t="shared" si="197"/>
        <v>-1459</v>
      </c>
      <c r="H342" s="140"/>
      <c r="I342" s="128"/>
      <c r="J342" s="29">
        <f t="shared" si="198"/>
        <v>-1459</v>
      </c>
      <c r="K342" s="122"/>
      <c r="L342" s="123"/>
      <c r="M342" s="39">
        <f t="shared" si="199"/>
        <v>-1459</v>
      </c>
      <c r="N342" s="128"/>
      <c r="O342" s="128"/>
      <c r="P342" s="40">
        <f t="shared" si="200"/>
        <v>-1459</v>
      </c>
      <c r="Q342" s="122"/>
      <c r="R342" s="123"/>
      <c r="S342" s="39">
        <f t="shared" si="201"/>
        <v>-1459</v>
      </c>
      <c r="T342" s="178"/>
      <c r="U342" s="141"/>
      <c r="V342" s="46">
        <f t="shared" si="202"/>
        <v>-1459</v>
      </c>
      <c r="W342" s="143"/>
    </row>
    <row r="343" spans="1:23" ht="15.75" customHeight="1">
      <c r="A343" s="87"/>
      <c r="B343" s="77">
        <f ca="1">IFERROR(__xludf.DUMMYFUNCTION("DATE(VALUE(LEFT($B$2,4)),VALUE(MID($B$2,6,2)),VALUE(RIGHT($B$2,2)))
+ (VALUE(REGEXEXTRACT(INDIRECT(""A""&amp;ROW()+1),""\d+""))-1)*7
+ INT((COLUMN()-COLUMN($B343))/3)
"),46222)</f>
        <v>46222</v>
      </c>
      <c r="C343" s="81"/>
      <c r="D343" s="82"/>
      <c r="E343" s="77">
        <f ca="1">IFERROR(__xludf.DUMMYFUNCTION("DATE(VALUE(LEFT($B$2,4)),VALUE(MID($B$2,6,2)),VALUE(RIGHT($B$2,2)))
+ (VALUE(REGEXEXTRACT(INDIRECT(""A""&amp;ROW()+1),""\d+""))-1)*7
+ INT((COLUMN()-COLUMN($B343))/3)
"),46223)</f>
        <v>46223</v>
      </c>
      <c r="F343" s="81"/>
      <c r="G343" s="82"/>
      <c r="H343" s="77">
        <f ca="1">IFERROR(__xludf.DUMMYFUNCTION("DATE(VALUE(LEFT($B$2,4)),VALUE(MID($B$2,6,2)),VALUE(RIGHT($B$2,2)))
+ (VALUE(REGEXEXTRACT(INDIRECT(""A""&amp;ROW()+1),""\d+""))-1)*7
+ INT((COLUMN()-COLUMN($B343))/3)
"),46224)</f>
        <v>46224</v>
      </c>
      <c r="I343" s="81"/>
      <c r="J343" s="82"/>
      <c r="K343" s="77">
        <f ca="1">IFERROR(__xludf.DUMMYFUNCTION("DATE(VALUE(LEFT($B$2,4)),VALUE(MID($B$2,6,2)),VALUE(RIGHT($B$2,2)))
+ (VALUE(REGEXEXTRACT(INDIRECT(""A""&amp;ROW()+1),""\d+""))-1)*7
+ INT((COLUMN()-COLUMN($B343))/3)
"),46225)</f>
        <v>46225</v>
      </c>
      <c r="L343" s="81"/>
      <c r="M343" s="82"/>
      <c r="N343" s="77">
        <f ca="1">IFERROR(__xludf.DUMMYFUNCTION("DATE(VALUE(LEFT($B$2,4)),VALUE(MID($B$2,6,2)),VALUE(RIGHT($B$2,2)))
+ (VALUE(REGEXEXTRACT(INDIRECT(""A""&amp;ROW()+1),""\d+""))-1)*7
+ INT((COLUMN()-COLUMN($B343))/3)
"),46226)</f>
        <v>46226</v>
      </c>
      <c r="O343" s="81"/>
      <c r="P343" s="82"/>
      <c r="Q343" s="77">
        <f ca="1">IFERROR(__xludf.DUMMYFUNCTION("DATE(VALUE(LEFT($B$2,4)),VALUE(MID($B$2,6,2)),VALUE(RIGHT($B$2,2)))
+ (VALUE(REGEXEXTRACT(INDIRECT(""A""&amp;ROW()+1),""\d+""))-1)*7
+ INT((COLUMN()-COLUMN($B343))/3)
"),46227)</f>
        <v>46227</v>
      </c>
      <c r="R343" s="81"/>
      <c r="S343" s="82"/>
      <c r="T343" s="77">
        <f ca="1">IFERROR(__xludf.DUMMYFUNCTION("DATE(VALUE(LEFT($B$2,4)),VALUE(MID($B$2,6,2)),VALUE(RIGHT($B$2,2)))
+ (VALUE(REGEXEXTRACT(INDIRECT(""A""&amp;ROW()+1),""\d+""))-1)*7
+ INT((COLUMN()-COLUMN($B343))/3)
"),46228)</f>
        <v>46228</v>
      </c>
      <c r="U343" s="81"/>
      <c r="V343" s="82"/>
      <c r="W343" s="143"/>
    </row>
    <row r="344" spans="1:23" ht="15.75" customHeight="1">
      <c r="A344" s="51" t="s">
        <v>158</v>
      </c>
      <c r="B344" s="112"/>
      <c r="C344" s="111"/>
      <c r="D344" s="48">
        <f>V342+C344</f>
        <v>-1459</v>
      </c>
      <c r="E344" s="113"/>
      <c r="F344" s="109"/>
      <c r="G344" s="42">
        <f>D354+F344</f>
        <v>-1459</v>
      </c>
      <c r="H344" s="110"/>
      <c r="I344" s="111"/>
      <c r="J344" s="17">
        <f>G354+I344</f>
        <v>-1459</v>
      </c>
      <c r="K344" s="109"/>
      <c r="L344" s="109"/>
      <c r="M344" s="35">
        <f>J354+L344</f>
        <v>-1459</v>
      </c>
      <c r="N344" s="112"/>
      <c r="O344" s="111"/>
      <c r="P344" s="17">
        <f>M354+O344</f>
        <v>-1459</v>
      </c>
      <c r="Q344" s="109"/>
      <c r="R344" s="109"/>
      <c r="S344" s="42">
        <f>P354+R344</f>
        <v>-1459</v>
      </c>
      <c r="T344" s="110"/>
      <c r="U344" s="111"/>
      <c r="V344" s="48">
        <f>S354+U344</f>
        <v>-1459</v>
      </c>
      <c r="W344" s="143"/>
    </row>
    <row r="345" spans="1:23" ht="15.75" customHeight="1">
      <c r="A345" s="114"/>
      <c r="B345" s="106"/>
      <c r="C345" s="107"/>
      <c r="D345" s="20">
        <f t="shared" ref="D345:D354" si="203">D344+C345</f>
        <v>-1459</v>
      </c>
      <c r="E345" s="118"/>
      <c r="F345" s="117"/>
      <c r="G345" s="19">
        <f t="shared" ref="G345:G354" si="204">G344+F345</f>
        <v>-1459</v>
      </c>
      <c r="H345" s="116"/>
      <c r="I345" s="107"/>
      <c r="J345" s="26">
        <f t="shared" ref="J345:J354" si="205">J344+I345</f>
        <v>-1459</v>
      </c>
      <c r="K345" s="117"/>
      <c r="L345" s="117"/>
      <c r="M345" s="38">
        <f t="shared" ref="M345:M354" si="206">M344+L345</f>
        <v>-1459</v>
      </c>
      <c r="N345" s="106"/>
      <c r="O345" s="107"/>
      <c r="P345" s="26">
        <f t="shared" ref="P345:P354" si="207">P344+O345</f>
        <v>-1459</v>
      </c>
      <c r="Q345" s="117"/>
      <c r="R345" s="117"/>
      <c r="S345" s="19">
        <f t="shared" ref="S345:S354" si="208">S344+R345</f>
        <v>-1459</v>
      </c>
      <c r="T345" s="116"/>
      <c r="U345" s="107"/>
      <c r="V345" s="20">
        <f t="shared" ref="V345:V354" si="209">V344+U345</f>
        <v>-1459</v>
      </c>
      <c r="W345" s="143"/>
    </row>
    <row r="346" spans="1:23" ht="15.75" customHeight="1">
      <c r="A346" s="114"/>
      <c r="B346" s="106"/>
      <c r="C346" s="107"/>
      <c r="D346" s="20">
        <f t="shared" si="203"/>
        <v>-1459</v>
      </c>
      <c r="E346" s="118"/>
      <c r="F346" s="117"/>
      <c r="G346" s="19">
        <f t="shared" si="204"/>
        <v>-1459</v>
      </c>
      <c r="H346" s="116"/>
      <c r="I346" s="107"/>
      <c r="J346" s="26">
        <f t="shared" si="205"/>
        <v>-1459</v>
      </c>
      <c r="K346" s="117"/>
      <c r="L346" s="117"/>
      <c r="M346" s="38">
        <f t="shared" si="206"/>
        <v>-1459</v>
      </c>
      <c r="N346" s="106"/>
      <c r="O346" s="107"/>
      <c r="P346" s="26">
        <f t="shared" si="207"/>
        <v>-1459</v>
      </c>
      <c r="Q346" s="117"/>
      <c r="R346" s="117"/>
      <c r="S346" s="19">
        <f t="shared" si="208"/>
        <v>-1459</v>
      </c>
      <c r="T346" s="116"/>
      <c r="U346" s="116"/>
      <c r="V346" s="20">
        <f t="shared" si="209"/>
        <v>-1459</v>
      </c>
      <c r="W346" s="143"/>
    </row>
    <row r="347" spans="1:23" ht="15.75" customHeight="1">
      <c r="A347" s="114"/>
      <c r="B347" s="106"/>
      <c r="C347" s="107"/>
      <c r="D347" s="20">
        <f t="shared" si="203"/>
        <v>-1459</v>
      </c>
      <c r="E347" s="118"/>
      <c r="F347" s="117"/>
      <c r="G347" s="19">
        <f t="shared" si="204"/>
        <v>-1459</v>
      </c>
      <c r="H347" s="116"/>
      <c r="I347" s="107"/>
      <c r="J347" s="26">
        <f t="shared" si="205"/>
        <v>-1459</v>
      </c>
      <c r="K347" s="117"/>
      <c r="L347" s="117"/>
      <c r="M347" s="38">
        <f t="shared" si="206"/>
        <v>-1459</v>
      </c>
      <c r="N347" s="106"/>
      <c r="O347" s="107"/>
      <c r="P347" s="26">
        <f t="shared" si="207"/>
        <v>-1459</v>
      </c>
      <c r="Q347" s="117"/>
      <c r="R347" s="117"/>
      <c r="S347" s="19">
        <f t="shared" si="208"/>
        <v>-1459</v>
      </c>
      <c r="T347" s="116"/>
      <c r="U347" s="116"/>
      <c r="V347" s="20">
        <f t="shared" si="209"/>
        <v>-1459</v>
      </c>
      <c r="W347" s="143"/>
    </row>
    <row r="348" spans="1:23" ht="15.75" customHeight="1">
      <c r="A348" s="114"/>
      <c r="B348" s="106"/>
      <c r="C348" s="107"/>
      <c r="D348" s="20">
        <f t="shared" si="203"/>
        <v>-1459</v>
      </c>
      <c r="E348" s="118"/>
      <c r="F348" s="117"/>
      <c r="G348" s="19">
        <f t="shared" si="204"/>
        <v>-1459</v>
      </c>
      <c r="H348" s="116"/>
      <c r="I348" s="107"/>
      <c r="J348" s="26">
        <f t="shared" si="205"/>
        <v>-1459</v>
      </c>
      <c r="K348" s="117"/>
      <c r="L348" s="117"/>
      <c r="M348" s="38">
        <f t="shared" si="206"/>
        <v>-1459</v>
      </c>
      <c r="N348" s="106"/>
      <c r="O348" s="107"/>
      <c r="P348" s="26">
        <f t="shared" si="207"/>
        <v>-1459</v>
      </c>
      <c r="Q348" s="117"/>
      <c r="R348" s="117"/>
      <c r="S348" s="19">
        <f t="shared" si="208"/>
        <v>-1459</v>
      </c>
      <c r="T348" s="116"/>
      <c r="U348" s="116"/>
      <c r="V348" s="20">
        <f t="shared" si="209"/>
        <v>-1459</v>
      </c>
      <c r="W348" s="143"/>
    </row>
    <row r="349" spans="1:23" ht="15.75" customHeight="1">
      <c r="A349" s="114"/>
      <c r="B349" s="106"/>
      <c r="C349" s="107"/>
      <c r="D349" s="20">
        <f t="shared" si="203"/>
        <v>-1459</v>
      </c>
      <c r="E349" s="118"/>
      <c r="F349" s="117"/>
      <c r="G349" s="19">
        <f t="shared" si="204"/>
        <v>-1459</v>
      </c>
      <c r="H349" s="116"/>
      <c r="I349" s="107"/>
      <c r="J349" s="26">
        <f t="shared" si="205"/>
        <v>-1459</v>
      </c>
      <c r="K349" s="117"/>
      <c r="L349" s="117"/>
      <c r="M349" s="38">
        <f t="shared" si="206"/>
        <v>-1459</v>
      </c>
      <c r="N349" s="106"/>
      <c r="O349" s="107"/>
      <c r="P349" s="26">
        <f t="shared" si="207"/>
        <v>-1459</v>
      </c>
      <c r="Q349" s="117"/>
      <c r="R349" s="117"/>
      <c r="S349" s="19">
        <f t="shared" si="208"/>
        <v>-1459</v>
      </c>
      <c r="T349" s="116"/>
      <c r="U349" s="116"/>
      <c r="V349" s="20">
        <f t="shared" si="209"/>
        <v>-1459</v>
      </c>
      <c r="W349" s="143"/>
    </row>
    <row r="350" spans="1:23" ht="15.75" customHeight="1">
      <c r="A350" s="114"/>
      <c r="B350" s="106"/>
      <c r="C350" s="107"/>
      <c r="D350" s="20">
        <f t="shared" si="203"/>
        <v>-1459</v>
      </c>
      <c r="E350" s="118"/>
      <c r="F350" s="117"/>
      <c r="G350" s="19">
        <f t="shared" si="204"/>
        <v>-1459</v>
      </c>
      <c r="H350" s="116"/>
      <c r="I350" s="107"/>
      <c r="J350" s="26">
        <f t="shared" si="205"/>
        <v>-1459</v>
      </c>
      <c r="K350" s="117"/>
      <c r="L350" s="117"/>
      <c r="M350" s="38">
        <f t="shared" si="206"/>
        <v>-1459</v>
      </c>
      <c r="N350" s="106"/>
      <c r="O350" s="107"/>
      <c r="P350" s="26">
        <f t="shared" si="207"/>
        <v>-1459</v>
      </c>
      <c r="Q350" s="117"/>
      <c r="R350" s="117"/>
      <c r="S350" s="19">
        <f t="shared" si="208"/>
        <v>-1459</v>
      </c>
      <c r="T350" s="116"/>
      <c r="U350" s="116"/>
      <c r="V350" s="20">
        <f t="shared" si="209"/>
        <v>-1459</v>
      </c>
      <c r="W350" s="143"/>
    </row>
    <row r="351" spans="1:23" ht="15.75" customHeight="1">
      <c r="A351" s="114"/>
      <c r="B351" s="106"/>
      <c r="C351" s="107"/>
      <c r="D351" s="20">
        <f t="shared" si="203"/>
        <v>-1459</v>
      </c>
      <c r="E351" s="118"/>
      <c r="F351" s="117"/>
      <c r="G351" s="19">
        <f t="shared" si="204"/>
        <v>-1459</v>
      </c>
      <c r="H351" s="116"/>
      <c r="I351" s="107"/>
      <c r="J351" s="26">
        <f t="shared" si="205"/>
        <v>-1459</v>
      </c>
      <c r="K351" s="117"/>
      <c r="L351" s="117"/>
      <c r="M351" s="38">
        <f t="shared" si="206"/>
        <v>-1459</v>
      </c>
      <c r="N351" s="106"/>
      <c r="O351" s="107"/>
      <c r="P351" s="26">
        <f t="shared" si="207"/>
        <v>-1459</v>
      </c>
      <c r="Q351" s="117"/>
      <c r="R351" s="117"/>
      <c r="S351" s="19">
        <f t="shared" si="208"/>
        <v>-1459</v>
      </c>
      <c r="T351" s="116"/>
      <c r="U351" s="116"/>
      <c r="V351" s="20">
        <f t="shared" si="209"/>
        <v>-1459</v>
      </c>
      <c r="W351" s="143"/>
    </row>
    <row r="352" spans="1:23" ht="15.75" customHeight="1">
      <c r="A352" s="114"/>
      <c r="B352" s="122"/>
      <c r="C352" s="123"/>
      <c r="D352" s="20">
        <f t="shared" si="203"/>
        <v>-1459</v>
      </c>
      <c r="E352" s="118"/>
      <c r="F352" s="117"/>
      <c r="G352" s="19">
        <f t="shared" si="204"/>
        <v>-1459</v>
      </c>
      <c r="H352" s="124"/>
      <c r="I352" s="123"/>
      <c r="J352" s="26">
        <f t="shared" si="205"/>
        <v>-1459</v>
      </c>
      <c r="K352" s="117"/>
      <c r="L352" s="117"/>
      <c r="M352" s="38">
        <f t="shared" si="206"/>
        <v>-1459</v>
      </c>
      <c r="N352" s="122"/>
      <c r="O352" s="123"/>
      <c r="P352" s="26">
        <f t="shared" si="207"/>
        <v>-1459</v>
      </c>
      <c r="Q352" s="117"/>
      <c r="R352" s="117"/>
      <c r="S352" s="19">
        <f t="shared" si="208"/>
        <v>-1459</v>
      </c>
      <c r="T352" s="116"/>
      <c r="U352" s="116"/>
      <c r="V352" s="20">
        <f t="shared" si="209"/>
        <v>-1459</v>
      </c>
      <c r="W352" s="143"/>
    </row>
    <row r="353" spans="1:23" ht="15.75" customHeight="1">
      <c r="A353" s="114"/>
      <c r="B353" s="122"/>
      <c r="C353" s="123"/>
      <c r="D353" s="20">
        <f t="shared" si="203"/>
        <v>-1459</v>
      </c>
      <c r="E353" s="118"/>
      <c r="F353" s="117"/>
      <c r="G353" s="19">
        <f t="shared" si="204"/>
        <v>-1459</v>
      </c>
      <c r="H353" s="124"/>
      <c r="I353" s="123"/>
      <c r="J353" s="26">
        <f t="shared" si="205"/>
        <v>-1459</v>
      </c>
      <c r="K353" s="117"/>
      <c r="L353" s="117"/>
      <c r="M353" s="38">
        <f t="shared" si="206"/>
        <v>-1459</v>
      </c>
      <c r="N353" s="122"/>
      <c r="O353" s="123"/>
      <c r="P353" s="26">
        <f t="shared" si="207"/>
        <v>-1459</v>
      </c>
      <c r="Q353" s="117"/>
      <c r="R353" s="117"/>
      <c r="S353" s="19">
        <f t="shared" si="208"/>
        <v>-1459</v>
      </c>
      <c r="T353" s="124"/>
      <c r="U353" s="124"/>
      <c r="V353" s="20">
        <f t="shared" si="209"/>
        <v>-1459</v>
      </c>
      <c r="W353" s="143"/>
    </row>
    <row r="354" spans="1:23" ht="15.75" customHeight="1">
      <c r="A354" s="114"/>
      <c r="B354" s="122"/>
      <c r="C354" s="123"/>
      <c r="D354" s="49">
        <f t="shared" si="203"/>
        <v>-1459</v>
      </c>
      <c r="E354" s="154"/>
      <c r="F354" s="128"/>
      <c r="G354" s="29">
        <f t="shared" si="204"/>
        <v>-1459</v>
      </c>
      <c r="H354" s="124"/>
      <c r="I354" s="123"/>
      <c r="J354" s="39">
        <f t="shared" si="205"/>
        <v>-1459</v>
      </c>
      <c r="K354" s="128"/>
      <c r="L354" s="128"/>
      <c r="M354" s="40">
        <f t="shared" si="206"/>
        <v>-1459</v>
      </c>
      <c r="N354" s="122"/>
      <c r="O354" s="123"/>
      <c r="P354" s="39">
        <f t="shared" si="207"/>
        <v>-1459</v>
      </c>
      <c r="Q354" s="128"/>
      <c r="R354" s="128"/>
      <c r="S354" s="29">
        <f t="shared" si="208"/>
        <v>-1459</v>
      </c>
      <c r="T354" s="124"/>
      <c r="U354" s="123"/>
      <c r="V354" s="49">
        <f t="shared" si="209"/>
        <v>-1459</v>
      </c>
      <c r="W354" s="143"/>
    </row>
    <row r="355" spans="1:23" ht="15.75" customHeight="1">
      <c r="A355" s="87"/>
      <c r="B355" s="77">
        <f ca="1">IFERROR(__xludf.DUMMYFUNCTION("DATE(VALUE(LEFT($B$2,4)),VALUE(MID($B$2,6,2)),VALUE(RIGHT($B$2,2)))
+ (VALUE(REGEXEXTRACT(INDIRECT(""A""&amp;ROW()+1),""\d+""))-1)*7
+ INT((COLUMN()-COLUMN($B355))/3)
"),46229)</f>
        <v>46229</v>
      </c>
      <c r="C355" s="81"/>
      <c r="D355" s="82"/>
      <c r="E355" s="77">
        <f ca="1">IFERROR(__xludf.DUMMYFUNCTION("DATE(VALUE(LEFT($B$2,4)),VALUE(MID($B$2,6,2)),VALUE(RIGHT($B$2,2)))
+ (VALUE(REGEXEXTRACT(INDIRECT(""A""&amp;ROW()+1),""\d+""))-1)*7
+ INT((COLUMN()-COLUMN($B355))/3)
"),46230)</f>
        <v>46230</v>
      </c>
      <c r="F355" s="81"/>
      <c r="G355" s="82"/>
      <c r="H355" s="77">
        <f ca="1">IFERROR(__xludf.DUMMYFUNCTION("DATE(VALUE(LEFT($B$2,4)),VALUE(MID($B$2,6,2)),VALUE(RIGHT($B$2,2)))
+ (VALUE(REGEXEXTRACT(INDIRECT(""A""&amp;ROW()+1),""\d+""))-1)*7
+ INT((COLUMN()-COLUMN($B355))/3)
"),46231)</f>
        <v>46231</v>
      </c>
      <c r="I355" s="81"/>
      <c r="J355" s="82"/>
      <c r="K355" s="77">
        <f ca="1">IFERROR(__xludf.DUMMYFUNCTION("DATE(VALUE(LEFT($B$2,4)),VALUE(MID($B$2,6,2)),VALUE(RIGHT($B$2,2)))
+ (VALUE(REGEXEXTRACT(INDIRECT(""A""&amp;ROW()+1),""\d+""))-1)*7
+ INT((COLUMN()-COLUMN($B355))/3)
"),46232)</f>
        <v>46232</v>
      </c>
      <c r="L355" s="81"/>
      <c r="M355" s="82"/>
      <c r="N355" s="77">
        <f ca="1">IFERROR(__xludf.DUMMYFUNCTION("DATE(VALUE(LEFT($B$2,4)),VALUE(MID($B$2,6,2)),VALUE(RIGHT($B$2,2)))
+ (VALUE(REGEXEXTRACT(INDIRECT(""A""&amp;ROW()+1),""\d+""))-1)*7
+ INT((COLUMN()-COLUMN($B355))/3)
"),46233)</f>
        <v>46233</v>
      </c>
      <c r="O355" s="81"/>
      <c r="P355" s="82"/>
      <c r="Q355" s="77">
        <f ca="1">IFERROR(__xludf.DUMMYFUNCTION("DATE(VALUE(LEFT($B$2,4)),VALUE(MID($B$2,6,2)),VALUE(RIGHT($B$2,2)))
+ (VALUE(REGEXEXTRACT(INDIRECT(""A""&amp;ROW()+1),""\d+""))-1)*7
+ INT((COLUMN()-COLUMN($B355))/3)
"),46234)</f>
        <v>46234</v>
      </c>
      <c r="R355" s="81"/>
      <c r="S355" s="82"/>
      <c r="T355" s="77">
        <f ca="1">IFERROR(__xludf.DUMMYFUNCTION("DATE(VALUE(LEFT($B$2,4)),VALUE(MID($B$2,6,2)),VALUE(RIGHT($B$2,2)))
+ (VALUE(REGEXEXTRACT(INDIRECT(""A""&amp;ROW()+1),""\d+""))-1)*7
+ INT((COLUMN()-COLUMN($B355))/3)
"),46235)</f>
        <v>46235</v>
      </c>
      <c r="U355" s="81"/>
      <c r="V355" s="82"/>
      <c r="W355" s="52" t="s">
        <v>20</v>
      </c>
    </row>
    <row r="356" spans="1:23" ht="15.75" customHeight="1">
      <c r="A356" s="47" t="s">
        <v>159</v>
      </c>
      <c r="B356" s="113"/>
      <c r="C356" s="109"/>
      <c r="D356" s="50">
        <f>V354+C356</f>
        <v>-1459</v>
      </c>
      <c r="E356" s="112"/>
      <c r="F356" s="111"/>
      <c r="G356" s="17">
        <f>D366+F356</f>
        <v>-1459</v>
      </c>
      <c r="H356" s="132"/>
      <c r="I356" s="109"/>
      <c r="J356" s="42">
        <f>G366+I356</f>
        <v>-1459</v>
      </c>
      <c r="K356" s="112"/>
      <c r="L356" s="111"/>
      <c r="M356" s="18">
        <f>J366+L356</f>
        <v>-1459</v>
      </c>
      <c r="N356" s="113"/>
      <c r="O356" s="109"/>
      <c r="P356" s="35">
        <f>M366+O356</f>
        <v>-1459</v>
      </c>
      <c r="Q356" s="112"/>
      <c r="R356" s="111"/>
      <c r="S356" s="17">
        <f>P366+R356</f>
        <v>-1459</v>
      </c>
      <c r="T356" s="176"/>
      <c r="U356" s="173"/>
      <c r="V356" s="50">
        <f>S366+U356</f>
        <v>-1459</v>
      </c>
      <c r="W356" s="172"/>
    </row>
    <row r="357" spans="1:23" ht="15.75" customHeight="1">
      <c r="A357" s="114"/>
      <c r="B357" s="118"/>
      <c r="C357" s="117"/>
      <c r="D357" s="45">
        <f t="shared" ref="D357:D366" si="210">D356+C357</f>
        <v>-1459</v>
      </c>
      <c r="E357" s="106"/>
      <c r="F357" s="107"/>
      <c r="G357" s="26">
        <f t="shared" ref="G357:G366" si="211">G356+F357</f>
        <v>-1459</v>
      </c>
      <c r="H357" s="117"/>
      <c r="I357" s="117"/>
      <c r="J357" s="19">
        <f t="shared" ref="J357:J366" si="212">J356+I357</f>
        <v>-1459</v>
      </c>
      <c r="K357" s="106"/>
      <c r="L357" s="107"/>
      <c r="M357" s="26">
        <f t="shared" ref="M357:M366" si="213">M356+L357</f>
        <v>-1459</v>
      </c>
      <c r="N357" s="118"/>
      <c r="O357" s="117"/>
      <c r="P357" s="38">
        <f t="shared" ref="P357:P366" si="214">P356+O357</f>
        <v>-1459</v>
      </c>
      <c r="Q357" s="106"/>
      <c r="R357" s="107"/>
      <c r="S357" s="26">
        <f t="shared" ref="S357:S366" si="215">S356+R357</f>
        <v>-1459</v>
      </c>
      <c r="T357" s="177"/>
      <c r="U357" s="136"/>
      <c r="V357" s="45">
        <f t="shared" ref="V357:V366" si="216">V356+U357</f>
        <v>-1459</v>
      </c>
      <c r="W357" s="143"/>
    </row>
    <row r="358" spans="1:23" ht="15.75" customHeight="1">
      <c r="A358" s="114"/>
      <c r="B358" s="118"/>
      <c r="C358" s="117"/>
      <c r="D358" s="45">
        <f t="shared" si="210"/>
        <v>-1459</v>
      </c>
      <c r="E358" s="106"/>
      <c r="F358" s="107"/>
      <c r="G358" s="26">
        <f t="shared" si="211"/>
        <v>-1459</v>
      </c>
      <c r="H358" s="117"/>
      <c r="I358" s="117"/>
      <c r="J358" s="19">
        <f t="shared" si="212"/>
        <v>-1459</v>
      </c>
      <c r="K358" s="106"/>
      <c r="L358" s="107"/>
      <c r="M358" s="26">
        <f t="shared" si="213"/>
        <v>-1459</v>
      </c>
      <c r="N358" s="117"/>
      <c r="O358" s="117"/>
      <c r="P358" s="38">
        <f t="shared" si="214"/>
        <v>-1459</v>
      </c>
      <c r="Q358" s="106"/>
      <c r="R358" s="107"/>
      <c r="S358" s="26">
        <f t="shared" si="215"/>
        <v>-1459</v>
      </c>
      <c r="T358" s="177"/>
      <c r="U358" s="136"/>
      <c r="V358" s="45">
        <f t="shared" si="216"/>
        <v>-1459</v>
      </c>
      <c r="W358" s="143"/>
    </row>
    <row r="359" spans="1:23" ht="15.75" customHeight="1">
      <c r="A359" s="114"/>
      <c r="B359" s="118"/>
      <c r="C359" s="117"/>
      <c r="D359" s="45">
        <f t="shared" si="210"/>
        <v>-1459</v>
      </c>
      <c r="E359" s="106"/>
      <c r="F359" s="107"/>
      <c r="G359" s="26">
        <f t="shared" si="211"/>
        <v>-1459</v>
      </c>
      <c r="H359" s="117"/>
      <c r="I359" s="117"/>
      <c r="J359" s="19">
        <f t="shared" si="212"/>
        <v>-1459</v>
      </c>
      <c r="K359" s="106"/>
      <c r="L359" s="107"/>
      <c r="M359" s="26">
        <f t="shared" si="213"/>
        <v>-1459</v>
      </c>
      <c r="N359" s="117"/>
      <c r="O359" s="117"/>
      <c r="P359" s="38">
        <f t="shared" si="214"/>
        <v>-1459</v>
      </c>
      <c r="Q359" s="106"/>
      <c r="R359" s="107"/>
      <c r="S359" s="26">
        <f t="shared" si="215"/>
        <v>-1459</v>
      </c>
      <c r="T359" s="177"/>
      <c r="U359" s="136"/>
      <c r="V359" s="45">
        <f t="shared" si="216"/>
        <v>-1459</v>
      </c>
      <c r="W359" s="143"/>
    </row>
    <row r="360" spans="1:23" ht="15.75" customHeight="1">
      <c r="A360" s="114"/>
      <c r="B360" s="118"/>
      <c r="C360" s="117"/>
      <c r="D360" s="45">
        <f t="shared" si="210"/>
        <v>-1459</v>
      </c>
      <c r="E360" s="106"/>
      <c r="F360" s="107"/>
      <c r="G360" s="26">
        <f t="shared" si="211"/>
        <v>-1459</v>
      </c>
      <c r="H360" s="133"/>
      <c r="I360" s="117"/>
      <c r="J360" s="19">
        <f t="shared" si="212"/>
        <v>-1459</v>
      </c>
      <c r="K360" s="106"/>
      <c r="L360" s="107"/>
      <c r="M360" s="26">
        <f t="shared" si="213"/>
        <v>-1459</v>
      </c>
      <c r="N360" s="117"/>
      <c r="O360" s="117"/>
      <c r="P360" s="38">
        <f t="shared" si="214"/>
        <v>-1459</v>
      </c>
      <c r="Q360" s="106"/>
      <c r="R360" s="107"/>
      <c r="S360" s="26">
        <f t="shared" si="215"/>
        <v>-1459</v>
      </c>
      <c r="T360" s="177"/>
      <c r="U360" s="136"/>
      <c r="V360" s="45">
        <f t="shared" si="216"/>
        <v>-1459</v>
      </c>
      <c r="W360" s="143"/>
    </row>
    <row r="361" spans="1:23" ht="15.75" customHeight="1">
      <c r="A361" s="114"/>
      <c r="B361" s="118"/>
      <c r="C361" s="117"/>
      <c r="D361" s="45">
        <f t="shared" si="210"/>
        <v>-1459</v>
      </c>
      <c r="E361" s="106"/>
      <c r="F361" s="107"/>
      <c r="G361" s="26">
        <f t="shared" si="211"/>
        <v>-1459</v>
      </c>
      <c r="H361" s="133"/>
      <c r="I361" s="117"/>
      <c r="J361" s="19">
        <f t="shared" si="212"/>
        <v>-1459</v>
      </c>
      <c r="K361" s="106"/>
      <c r="L361" s="107"/>
      <c r="M361" s="26">
        <f t="shared" si="213"/>
        <v>-1459</v>
      </c>
      <c r="N361" s="117"/>
      <c r="O361" s="117"/>
      <c r="P361" s="38">
        <f t="shared" si="214"/>
        <v>-1459</v>
      </c>
      <c r="Q361" s="106"/>
      <c r="R361" s="107"/>
      <c r="S361" s="26">
        <f t="shared" si="215"/>
        <v>-1459</v>
      </c>
      <c r="T361" s="136"/>
      <c r="U361" s="136"/>
      <c r="V361" s="45">
        <f t="shared" si="216"/>
        <v>-1459</v>
      </c>
      <c r="W361" s="143"/>
    </row>
    <row r="362" spans="1:23" ht="15.75" customHeight="1">
      <c r="A362" s="114"/>
      <c r="B362" s="117"/>
      <c r="C362" s="117"/>
      <c r="D362" s="45">
        <f t="shared" si="210"/>
        <v>-1459</v>
      </c>
      <c r="E362" s="106"/>
      <c r="F362" s="107"/>
      <c r="G362" s="26">
        <f t="shared" si="211"/>
        <v>-1459</v>
      </c>
      <c r="H362" s="133"/>
      <c r="I362" s="117"/>
      <c r="J362" s="19">
        <f t="shared" si="212"/>
        <v>-1459</v>
      </c>
      <c r="K362" s="106"/>
      <c r="L362" s="107"/>
      <c r="M362" s="26">
        <f t="shared" si="213"/>
        <v>-1459</v>
      </c>
      <c r="N362" s="117"/>
      <c r="O362" s="117"/>
      <c r="P362" s="38">
        <f t="shared" si="214"/>
        <v>-1459</v>
      </c>
      <c r="Q362" s="106"/>
      <c r="R362" s="107"/>
      <c r="S362" s="26">
        <f t="shared" si="215"/>
        <v>-1459</v>
      </c>
      <c r="T362" s="136"/>
      <c r="U362" s="136"/>
      <c r="V362" s="45">
        <f t="shared" si="216"/>
        <v>-1459</v>
      </c>
      <c r="W362" s="143"/>
    </row>
    <row r="363" spans="1:23" ht="15.75" customHeight="1">
      <c r="A363" s="114"/>
      <c r="B363" s="117"/>
      <c r="C363" s="117"/>
      <c r="D363" s="45">
        <f t="shared" si="210"/>
        <v>-1459</v>
      </c>
      <c r="E363" s="106"/>
      <c r="F363" s="107"/>
      <c r="G363" s="26">
        <f t="shared" si="211"/>
        <v>-1459</v>
      </c>
      <c r="H363" s="133"/>
      <c r="I363" s="117"/>
      <c r="J363" s="19">
        <f t="shared" si="212"/>
        <v>-1459</v>
      </c>
      <c r="K363" s="106"/>
      <c r="L363" s="107"/>
      <c r="M363" s="26">
        <f t="shared" si="213"/>
        <v>-1459</v>
      </c>
      <c r="N363" s="117"/>
      <c r="O363" s="117"/>
      <c r="P363" s="38">
        <f t="shared" si="214"/>
        <v>-1459</v>
      </c>
      <c r="Q363" s="106"/>
      <c r="R363" s="107"/>
      <c r="S363" s="26">
        <f t="shared" si="215"/>
        <v>-1459</v>
      </c>
      <c r="T363" s="136"/>
      <c r="U363" s="136"/>
      <c r="V363" s="45">
        <f t="shared" si="216"/>
        <v>-1459</v>
      </c>
      <c r="W363" s="143"/>
    </row>
    <row r="364" spans="1:23" ht="15.75" customHeight="1">
      <c r="A364" s="114"/>
      <c r="B364" s="117"/>
      <c r="C364" s="117"/>
      <c r="D364" s="45">
        <f t="shared" si="210"/>
        <v>-1459</v>
      </c>
      <c r="E364" s="106"/>
      <c r="F364" s="107"/>
      <c r="G364" s="26">
        <f t="shared" si="211"/>
        <v>-1459</v>
      </c>
      <c r="H364" s="133"/>
      <c r="I364" s="117"/>
      <c r="J364" s="19">
        <f t="shared" si="212"/>
        <v>-1459</v>
      </c>
      <c r="K364" s="106"/>
      <c r="L364" s="107"/>
      <c r="M364" s="26">
        <f t="shared" si="213"/>
        <v>-1459</v>
      </c>
      <c r="N364" s="117"/>
      <c r="O364" s="117"/>
      <c r="P364" s="38">
        <f t="shared" si="214"/>
        <v>-1459</v>
      </c>
      <c r="Q364" s="106"/>
      <c r="R364" s="107"/>
      <c r="S364" s="26">
        <f t="shared" si="215"/>
        <v>-1459</v>
      </c>
      <c r="T364" s="136"/>
      <c r="U364" s="136"/>
      <c r="V364" s="45">
        <f t="shared" si="216"/>
        <v>-1459</v>
      </c>
      <c r="W364" s="143"/>
    </row>
    <row r="365" spans="1:23" ht="15.75" customHeight="1">
      <c r="A365" s="114"/>
      <c r="B365" s="117"/>
      <c r="C365" s="117"/>
      <c r="D365" s="45">
        <f t="shared" si="210"/>
        <v>-1459</v>
      </c>
      <c r="E365" s="122"/>
      <c r="F365" s="123"/>
      <c r="G365" s="26">
        <f t="shared" si="211"/>
        <v>-1459</v>
      </c>
      <c r="H365" s="133"/>
      <c r="I365" s="117"/>
      <c r="J365" s="19">
        <f t="shared" si="212"/>
        <v>-1459</v>
      </c>
      <c r="K365" s="122"/>
      <c r="L365" s="123"/>
      <c r="M365" s="26">
        <f t="shared" si="213"/>
        <v>-1459</v>
      </c>
      <c r="N365" s="117"/>
      <c r="O365" s="117"/>
      <c r="P365" s="38">
        <f t="shared" si="214"/>
        <v>-1459</v>
      </c>
      <c r="Q365" s="122"/>
      <c r="R365" s="123"/>
      <c r="S365" s="26">
        <f t="shared" si="215"/>
        <v>-1459</v>
      </c>
      <c r="T365" s="136"/>
      <c r="U365" s="136"/>
      <c r="V365" s="45">
        <f t="shared" si="216"/>
        <v>-1459</v>
      </c>
      <c r="W365" s="143"/>
    </row>
    <row r="366" spans="1:23" ht="15.75" customHeight="1">
      <c r="A366" s="114"/>
      <c r="B366" s="128"/>
      <c r="C366" s="128"/>
      <c r="D366" s="46">
        <f t="shared" si="210"/>
        <v>-1459</v>
      </c>
      <c r="E366" s="122"/>
      <c r="F366" s="123"/>
      <c r="G366" s="39">
        <f t="shared" si="211"/>
        <v>-1459</v>
      </c>
      <c r="H366" s="140"/>
      <c r="I366" s="128"/>
      <c r="J366" s="29">
        <f t="shared" si="212"/>
        <v>-1459</v>
      </c>
      <c r="K366" s="122"/>
      <c r="L366" s="123"/>
      <c r="M366" s="39">
        <f t="shared" si="213"/>
        <v>-1459</v>
      </c>
      <c r="N366" s="128"/>
      <c r="O366" s="128"/>
      <c r="P366" s="40">
        <f t="shared" si="214"/>
        <v>-1459</v>
      </c>
      <c r="Q366" s="122"/>
      <c r="R366" s="123"/>
      <c r="S366" s="39">
        <f t="shared" si="215"/>
        <v>-1459</v>
      </c>
      <c r="T366" s="141"/>
      <c r="U366" s="141"/>
      <c r="V366" s="46">
        <f t="shared" si="216"/>
        <v>-1459</v>
      </c>
      <c r="W366" s="143"/>
    </row>
    <row r="367" spans="1:23" ht="15.75" customHeight="1">
      <c r="A367" s="87"/>
      <c r="B367" s="77">
        <f ca="1">IFERROR(__xludf.DUMMYFUNCTION("DATE(VALUE(LEFT($B$2,4)),VALUE(MID($B$2,6,2)),VALUE(RIGHT($B$2,2)))
+ (VALUE(REGEXEXTRACT(INDIRECT(""A""&amp;ROW()+1),""\d+""))-1)*7
+ INT((COLUMN()-COLUMN($B367))/3)
"),46236)</f>
        <v>46236</v>
      </c>
      <c r="C367" s="81"/>
      <c r="D367" s="82"/>
      <c r="E367" s="77">
        <f ca="1">IFERROR(__xludf.DUMMYFUNCTION("DATE(VALUE(LEFT($B$2,4)),VALUE(MID($B$2,6,2)),VALUE(RIGHT($B$2,2)))
+ (VALUE(REGEXEXTRACT(INDIRECT(""A""&amp;ROW()+1),""\d+""))-1)*7
+ INT((COLUMN()-COLUMN($B367))/3)
"),46237)</f>
        <v>46237</v>
      </c>
      <c r="F367" s="81"/>
      <c r="G367" s="82"/>
      <c r="H367" s="77">
        <f ca="1">IFERROR(__xludf.DUMMYFUNCTION("DATE(VALUE(LEFT($B$2,4)),VALUE(MID($B$2,6,2)),VALUE(RIGHT($B$2,2)))
+ (VALUE(REGEXEXTRACT(INDIRECT(""A""&amp;ROW()+1),""\d+""))-1)*7
+ INT((COLUMN()-COLUMN($B367))/3)
"),46238)</f>
        <v>46238</v>
      </c>
      <c r="I367" s="81"/>
      <c r="J367" s="82"/>
      <c r="K367" s="77">
        <f ca="1">IFERROR(__xludf.DUMMYFUNCTION("DATE(VALUE(LEFT($B$2,4)),VALUE(MID($B$2,6,2)),VALUE(RIGHT($B$2,2)))
+ (VALUE(REGEXEXTRACT(INDIRECT(""A""&amp;ROW()+1),""\d+""))-1)*7
+ INT((COLUMN()-COLUMN($B367))/3)
"),46239)</f>
        <v>46239</v>
      </c>
      <c r="L367" s="81"/>
      <c r="M367" s="82"/>
      <c r="N367" s="77">
        <f ca="1">IFERROR(__xludf.DUMMYFUNCTION("DATE(VALUE(LEFT($B$2,4)),VALUE(MID($B$2,6,2)),VALUE(RIGHT($B$2,2)))
+ (VALUE(REGEXEXTRACT(INDIRECT(""A""&amp;ROW()+1),""\d+""))-1)*7
+ INT((COLUMN()-COLUMN($B367))/3)
"),46240)</f>
        <v>46240</v>
      </c>
      <c r="O367" s="81"/>
      <c r="P367" s="82"/>
      <c r="Q367" s="77">
        <f ca="1">IFERROR(__xludf.DUMMYFUNCTION("DATE(VALUE(LEFT($B$2,4)),VALUE(MID($B$2,6,2)),VALUE(RIGHT($B$2,2)))
+ (VALUE(REGEXEXTRACT(INDIRECT(""A""&amp;ROW()+1),""\d+""))-1)*7
+ INT((COLUMN()-COLUMN($B367))/3)
"),46241)</f>
        <v>46241</v>
      </c>
      <c r="R367" s="81"/>
      <c r="S367" s="82"/>
      <c r="T367" s="77">
        <f ca="1">IFERROR(__xludf.DUMMYFUNCTION("DATE(VALUE(LEFT($B$2,4)),VALUE(MID($B$2,6,2)),VALUE(RIGHT($B$2,2)))
+ (VALUE(REGEXEXTRACT(INDIRECT(""A""&amp;ROW()+1),""\d+""))-1)*7
+ INT((COLUMN()-COLUMN($B367))/3)
"),46242)</f>
        <v>46242</v>
      </c>
      <c r="U367" s="81"/>
      <c r="V367" s="82"/>
      <c r="W367" s="143"/>
    </row>
    <row r="368" spans="1:23" ht="15.75" customHeight="1">
      <c r="A368" s="51" t="s">
        <v>160</v>
      </c>
      <c r="B368" s="112"/>
      <c r="C368" s="111"/>
      <c r="D368" s="48">
        <f>V366+C368</f>
        <v>-1459</v>
      </c>
      <c r="E368" s="113"/>
      <c r="F368" s="109"/>
      <c r="G368" s="42">
        <f>D378+F368</f>
        <v>-1459</v>
      </c>
      <c r="H368" s="110"/>
      <c r="I368" s="111"/>
      <c r="J368" s="17">
        <f>G378+I368</f>
        <v>-1459</v>
      </c>
      <c r="K368" s="109"/>
      <c r="L368" s="109"/>
      <c r="M368" s="35">
        <f>J378+L368</f>
        <v>-1459</v>
      </c>
      <c r="N368" s="112"/>
      <c r="O368" s="111"/>
      <c r="P368" s="17">
        <f>M378+O368</f>
        <v>-1459</v>
      </c>
      <c r="Q368" s="109"/>
      <c r="R368" s="109"/>
      <c r="S368" s="35">
        <f>P378+R368</f>
        <v>-1459</v>
      </c>
      <c r="T368" s="112"/>
      <c r="U368" s="111"/>
      <c r="V368" s="48">
        <f>S378+U368</f>
        <v>-1459</v>
      </c>
      <c r="W368" s="143"/>
    </row>
    <row r="369" spans="1:23" ht="15.75" customHeight="1">
      <c r="A369" s="114"/>
      <c r="B369" s="106"/>
      <c r="C369" s="107"/>
      <c r="D369" s="20">
        <f t="shared" ref="D369:D378" si="217">D368+C369</f>
        <v>-1459</v>
      </c>
      <c r="E369" s="118"/>
      <c r="F369" s="117"/>
      <c r="G369" s="19">
        <f t="shared" ref="G369:G378" si="218">G368+F369</f>
        <v>-1459</v>
      </c>
      <c r="H369" s="116"/>
      <c r="I369" s="107"/>
      <c r="J369" s="26">
        <f t="shared" ref="J369:J378" si="219">J368+I369</f>
        <v>-1459</v>
      </c>
      <c r="K369" s="117"/>
      <c r="L369" s="117"/>
      <c r="M369" s="38">
        <f t="shared" ref="M369:M378" si="220">M368+L369</f>
        <v>-1459</v>
      </c>
      <c r="N369" s="106"/>
      <c r="O369" s="107"/>
      <c r="P369" s="26">
        <f t="shared" ref="P369:P378" si="221">P368+O369</f>
        <v>-1459</v>
      </c>
      <c r="Q369" s="117"/>
      <c r="R369" s="117"/>
      <c r="S369" s="38">
        <f t="shared" ref="S369:S378" si="222">S368+R369</f>
        <v>-1459</v>
      </c>
      <c r="T369" s="106"/>
      <c r="U369" s="107"/>
      <c r="V369" s="20">
        <f t="shared" ref="V369:V378" si="223">V368+U369</f>
        <v>-1459</v>
      </c>
      <c r="W369" s="143"/>
    </row>
    <row r="370" spans="1:23" ht="15.75" customHeight="1">
      <c r="A370" s="114"/>
      <c r="B370" s="106"/>
      <c r="C370" s="107"/>
      <c r="D370" s="20">
        <f t="shared" si="217"/>
        <v>-1459</v>
      </c>
      <c r="E370" s="118"/>
      <c r="F370" s="117"/>
      <c r="G370" s="19">
        <f t="shared" si="218"/>
        <v>-1459</v>
      </c>
      <c r="H370" s="116"/>
      <c r="I370" s="107"/>
      <c r="J370" s="26">
        <f t="shared" si="219"/>
        <v>-1459</v>
      </c>
      <c r="K370" s="117"/>
      <c r="L370" s="117"/>
      <c r="M370" s="38">
        <f t="shared" si="220"/>
        <v>-1459</v>
      </c>
      <c r="N370" s="106"/>
      <c r="O370" s="107"/>
      <c r="P370" s="26">
        <f t="shared" si="221"/>
        <v>-1459</v>
      </c>
      <c r="Q370" s="117"/>
      <c r="R370" s="117"/>
      <c r="S370" s="38">
        <f t="shared" si="222"/>
        <v>-1459</v>
      </c>
      <c r="T370" s="106"/>
      <c r="U370" s="116"/>
      <c r="V370" s="20">
        <f t="shared" si="223"/>
        <v>-1459</v>
      </c>
      <c r="W370" s="143"/>
    </row>
    <row r="371" spans="1:23" ht="15.75" customHeight="1">
      <c r="A371" s="114"/>
      <c r="B371" s="106"/>
      <c r="C371" s="107"/>
      <c r="D371" s="20">
        <f t="shared" si="217"/>
        <v>-1459</v>
      </c>
      <c r="E371" s="118"/>
      <c r="F371" s="117"/>
      <c r="G371" s="19">
        <f t="shared" si="218"/>
        <v>-1459</v>
      </c>
      <c r="H371" s="116"/>
      <c r="I371" s="107"/>
      <c r="J371" s="26">
        <f t="shared" si="219"/>
        <v>-1459</v>
      </c>
      <c r="K371" s="117"/>
      <c r="L371" s="117"/>
      <c r="M371" s="38">
        <f t="shared" si="220"/>
        <v>-1459</v>
      </c>
      <c r="N371" s="106"/>
      <c r="O371" s="107"/>
      <c r="P371" s="26">
        <f t="shared" si="221"/>
        <v>-1459</v>
      </c>
      <c r="Q371" s="117"/>
      <c r="R371" s="117"/>
      <c r="S371" s="38">
        <f t="shared" si="222"/>
        <v>-1459</v>
      </c>
      <c r="T371" s="106"/>
      <c r="U371" s="116"/>
      <c r="V371" s="20">
        <f t="shared" si="223"/>
        <v>-1459</v>
      </c>
      <c r="W371" s="143"/>
    </row>
    <row r="372" spans="1:23" ht="15.75" customHeight="1">
      <c r="A372" s="114"/>
      <c r="B372" s="106"/>
      <c r="C372" s="107"/>
      <c r="D372" s="20">
        <f t="shared" si="217"/>
        <v>-1459</v>
      </c>
      <c r="E372" s="118"/>
      <c r="F372" s="117"/>
      <c r="G372" s="19">
        <f t="shared" si="218"/>
        <v>-1459</v>
      </c>
      <c r="H372" s="116"/>
      <c r="I372" s="107"/>
      <c r="J372" s="26">
        <f t="shared" si="219"/>
        <v>-1459</v>
      </c>
      <c r="K372" s="117"/>
      <c r="L372" s="117"/>
      <c r="M372" s="38">
        <f t="shared" si="220"/>
        <v>-1459</v>
      </c>
      <c r="N372" s="106"/>
      <c r="O372" s="107"/>
      <c r="P372" s="26">
        <f t="shared" si="221"/>
        <v>-1459</v>
      </c>
      <c r="Q372" s="117"/>
      <c r="R372" s="117"/>
      <c r="S372" s="38">
        <f t="shared" si="222"/>
        <v>-1459</v>
      </c>
      <c r="T372" s="106"/>
      <c r="U372" s="116"/>
      <c r="V372" s="20">
        <f t="shared" si="223"/>
        <v>-1459</v>
      </c>
      <c r="W372" s="143"/>
    </row>
    <row r="373" spans="1:23" ht="15.75" customHeight="1">
      <c r="A373" s="114"/>
      <c r="B373" s="106"/>
      <c r="C373" s="107"/>
      <c r="D373" s="20">
        <f t="shared" si="217"/>
        <v>-1459</v>
      </c>
      <c r="E373" s="118"/>
      <c r="F373" s="117"/>
      <c r="G373" s="19">
        <f t="shared" si="218"/>
        <v>-1459</v>
      </c>
      <c r="H373" s="116"/>
      <c r="I373" s="107"/>
      <c r="J373" s="26">
        <f t="shared" si="219"/>
        <v>-1459</v>
      </c>
      <c r="K373" s="117"/>
      <c r="L373" s="117"/>
      <c r="M373" s="38">
        <f t="shared" si="220"/>
        <v>-1459</v>
      </c>
      <c r="N373" s="106"/>
      <c r="O373" s="107"/>
      <c r="P373" s="26">
        <f t="shared" si="221"/>
        <v>-1459</v>
      </c>
      <c r="Q373" s="117"/>
      <c r="R373" s="117"/>
      <c r="S373" s="38">
        <f t="shared" si="222"/>
        <v>-1459</v>
      </c>
      <c r="T373" s="106"/>
      <c r="U373" s="116"/>
      <c r="V373" s="20">
        <f t="shared" si="223"/>
        <v>-1459</v>
      </c>
      <c r="W373" s="143"/>
    </row>
    <row r="374" spans="1:23" ht="15.75" customHeight="1">
      <c r="A374" s="114"/>
      <c r="B374" s="106"/>
      <c r="C374" s="107"/>
      <c r="D374" s="20">
        <f t="shared" si="217"/>
        <v>-1459</v>
      </c>
      <c r="E374" s="118"/>
      <c r="F374" s="117"/>
      <c r="G374" s="19">
        <f t="shared" si="218"/>
        <v>-1459</v>
      </c>
      <c r="H374" s="116"/>
      <c r="I374" s="107"/>
      <c r="J374" s="26">
        <f t="shared" si="219"/>
        <v>-1459</v>
      </c>
      <c r="K374" s="117"/>
      <c r="L374" s="117"/>
      <c r="M374" s="38">
        <f t="shared" si="220"/>
        <v>-1459</v>
      </c>
      <c r="N374" s="106"/>
      <c r="O374" s="107"/>
      <c r="P374" s="26">
        <f t="shared" si="221"/>
        <v>-1459</v>
      </c>
      <c r="Q374" s="117"/>
      <c r="R374" s="117"/>
      <c r="S374" s="38">
        <f t="shared" si="222"/>
        <v>-1459</v>
      </c>
      <c r="T374" s="106"/>
      <c r="U374" s="116"/>
      <c r="V374" s="20">
        <f t="shared" si="223"/>
        <v>-1459</v>
      </c>
      <c r="W374" s="143"/>
    </row>
    <row r="375" spans="1:23" ht="15.75" customHeight="1">
      <c r="A375" s="114"/>
      <c r="B375" s="106"/>
      <c r="C375" s="107"/>
      <c r="D375" s="20">
        <f t="shared" si="217"/>
        <v>-1459</v>
      </c>
      <c r="E375" s="118"/>
      <c r="F375" s="117"/>
      <c r="G375" s="19">
        <f t="shared" si="218"/>
        <v>-1459</v>
      </c>
      <c r="H375" s="116"/>
      <c r="I375" s="107"/>
      <c r="J375" s="26">
        <f t="shared" si="219"/>
        <v>-1459</v>
      </c>
      <c r="K375" s="117"/>
      <c r="L375" s="117"/>
      <c r="M375" s="38">
        <f t="shared" si="220"/>
        <v>-1459</v>
      </c>
      <c r="N375" s="106"/>
      <c r="O375" s="107"/>
      <c r="P375" s="26">
        <f t="shared" si="221"/>
        <v>-1459</v>
      </c>
      <c r="Q375" s="117"/>
      <c r="R375" s="117"/>
      <c r="S375" s="38">
        <f t="shared" si="222"/>
        <v>-1459</v>
      </c>
      <c r="T375" s="106"/>
      <c r="U375" s="116"/>
      <c r="V375" s="20">
        <f t="shared" si="223"/>
        <v>-1459</v>
      </c>
      <c r="W375" s="143"/>
    </row>
    <row r="376" spans="1:23" ht="15.75" customHeight="1">
      <c r="A376" s="114"/>
      <c r="B376" s="122"/>
      <c r="C376" s="123"/>
      <c r="D376" s="20">
        <f t="shared" si="217"/>
        <v>-1459</v>
      </c>
      <c r="E376" s="118"/>
      <c r="F376" s="117"/>
      <c r="G376" s="19">
        <f t="shared" si="218"/>
        <v>-1459</v>
      </c>
      <c r="H376" s="124"/>
      <c r="I376" s="123"/>
      <c r="J376" s="26">
        <f t="shared" si="219"/>
        <v>-1459</v>
      </c>
      <c r="K376" s="117"/>
      <c r="L376" s="117"/>
      <c r="M376" s="38">
        <f t="shared" si="220"/>
        <v>-1459</v>
      </c>
      <c r="N376" s="122"/>
      <c r="O376" s="123"/>
      <c r="P376" s="26">
        <f t="shared" si="221"/>
        <v>-1459</v>
      </c>
      <c r="Q376" s="117"/>
      <c r="R376" s="117"/>
      <c r="S376" s="38">
        <f t="shared" si="222"/>
        <v>-1459</v>
      </c>
      <c r="T376" s="106"/>
      <c r="U376" s="116"/>
      <c r="V376" s="20">
        <f t="shared" si="223"/>
        <v>-1459</v>
      </c>
      <c r="W376" s="143"/>
    </row>
    <row r="377" spans="1:23" ht="15.75" customHeight="1">
      <c r="A377" s="114"/>
      <c r="B377" s="122"/>
      <c r="C377" s="123"/>
      <c r="D377" s="20">
        <f t="shared" si="217"/>
        <v>-1459</v>
      </c>
      <c r="E377" s="118"/>
      <c r="F377" s="117"/>
      <c r="G377" s="19">
        <f t="shared" si="218"/>
        <v>-1459</v>
      </c>
      <c r="H377" s="124"/>
      <c r="I377" s="123"/>
      <c r="J377" s="26">
        <f t="shared" si="219"/>
        <v>-1459</v>
      </c>
      <c r="K377" s="117"/>
      <c r="L377" s="117"/>
      <c r="M377" s="38">
        <f t="shared" si="220"/>
        <v>-1459</v>
      </c>
      <c r="N377" s="122"/>
      <c r="O377" s="123"/>
      <c r="P377" s="26">
        <f t="shared" si="221"/>
        <v>-1459</v>
      </c>
      <c r="Q377" s="117"/>
      <c r="R377" s="117"/>
      <c r="S377" s="38">
        <f t="shared" si="222"/>
        <v>-1459</v>
      </c>
      <c r="T377" s="122"/>
      <c r="U377" s="124"/>
      <c r="V377" s="20">
        <f t="shared" si="223"/>
        <v>-1459</v>
      </c>
      <c r="W377" s="143"/>
    </row>
    <row r="378" spans="1:23" ht="15.75" customHeight="1">
      <c r="A378" s="114"/>
      <c r="B378" s="122"/>
      <c r="C378" s="123"/>
      <c r="D378" s="49">
        <f t="shared" si="217"/>
        <v>-1459</v>
      </c>
      <c r="E378" s="154"/>
      <c r="F378" s="128"/>
      <c r="G378" s="29">
        <f t="shared" si="218"/>
        <v>-1459</v>
      </c>
      <c r="H378" s="124"/>
      <c r="I378" s="123"/>
      <c r="J378" s="39">
        <f t="shared" si="219"/>
        <v>-1459</v>
      </c>
      <c r="K378" s="128"/>
      <c r="L378" s="128"/>
      <c r="M378" s="40">
        <f t="shared" si="220"/>
        <v>-1459</v>
      </c>
      <c r="N378" s="122"/>
      <c r="O378" s="123"/>
      <c r="P378" s="39">
        <f t="shared" si="221"/>
        <v>-1459</v>
      </c>
      <c r="Q378" s="128"/>
      <c r="R378" s="128"/>
      <c r="S378" s="40">
        <f t="shared" si="222"/>
        <v>-1459</v>
      </c>
      <c r="T378" s="122"/>
      <c r="U378" s="123"/>
      <c r="V378" s="49">
        <f t="shared" si="223"/>
        <v>-1459</v>
      </c>
      <c r="W378" s="143"/>
    </row>
    <row r="379" spans="1:23" ht="15.75" customHeight="1">
      <c r="A379" s="87"/>
      <c r="B379" s="77">
        <f ca="1">IFERROR(__xludf.DUMMYFUNCTION("DATE(VALUE(LEFT($B$2,4)),VALUE(MID($B$2,6,2)),VALUE(RIGHT($B$2,2)))
+ (VALUE(REGEXEXTRACT(INDIRECT(""A""&amp;ROW()+1),""\d+""))-1)*7
+ INT((COLUMN()-COLUMN($B379))/3)
"),46243)</f>
        <v>46243</v>
      </c>
      <c r="C379" s="81"/>
      <c r="D379" s="82"/>
      <c r="E379" s="77">
        <f ca="1">IFERROR(__xludf.DUMMYFUNCTION("DATE(VALUE(LEFT($B$2,4)),VALUE(MID($B$2,6,2)),VALUE(RIGHT($B$2,2)))
+ (VALUE(REGEXEXTRACT(INDIRECT(""A""&amp;ROW()+1),""\d+""))-1)*7
+ INT((COLUMN()-COLUMN($B379))/3)
"),46244)</f>
        <v>46244</v>
      </c>
      <c r="F379" s="81"/>
      <c r="G379" s="82"/>
      <c r="H379" s="77">
        <f ca="1">IFERROR(__xludf.DUMMYFUNCTION("DATE(VALUE(LEFT($B$2,4)),VALUE(MID($B$2,6,2)),VALUE(RIGHT($B$2,2)))
+ (VALUE(REGEXEXTRACT(INDIRECT(""A""&amp;ROW()+1),""\d+""))-1)*7
+ INT((COLUMN()-COLUMN($B379))/3)
"),46245)</f>
        <v>46245</v>
      </c>
      <c r="I379" s="81"/>
      <c r="J379" s="82"/>
      <c r="K379" s="77">
        <f ca="1">IFERROR(__xludf.DUMMYFUNCTION("DATE(VALUE(LEFT($B$2,4)),VALUE(MID($B$2,6,2)),VALUE(RIGHT($B$2,2)))
+ (VALUE(REGEXEXTRACT(INDIRECT(""A""&amp;ROW()+1),""\d+""))-1)*7
+ INT((COLUMN()-COLUMN($B379))/3)
"),46246)</f>
        <v>46246</v>
      </c>
      <c r="L379" s="81"/>
      <c r="M379" s="82"/>
      <c r="N379" s="77">
        <f ca="1">IFERROR(__xludf.DUMMYFUNCTION("DATE(VALUE(LEFT($B$2,4)),VALUE(MID($B$2,6,2)),VALUE(RIGHT($B$2,2)))
+ (VALUE(REGEXEXTRACT(INDIRECT(""A""&amp;ROW()+1),""\d+""))-1)*7
+ INT((COLUMN()-COLUMN($B379))/3)
"),46247)</f>
        <v>46247</v>
      </c>
      <c r="O379" s="81"/>
      <c r="P379" s="82"/>
      <c r="Q379" s="77">
        <f ca="1">IFERROR(__xludf.DUMMYFUNCTION("DATE(VALUE(LEFT($B$2,4)),VALUE(MID($B$2,6,2)),VALUE(RIGHT($B$2,2)))
+ (VALUE(REGEXEXTRACT(INDIRECT(""A""&amp;ROW()+1),""\d+""))-1)*7
+ INT((COLUMN()-COLUMN($B379))/3)
"),46248)</f>
        <v>46248</v>
      </c>
      <c r="R379" s="81"/>
      <c r="S379" s="82"/>
      <c r="T379" s="77">
        <f ca="1">IFERROR(__xludf.DUMMYFUNCTION("DATE(VALUE(LEFT($B$2,4)),VALUE(MID($B$2,6,2)),VALUE(RIGHT($B$2,2)))
+ (VALUE(REGEXEXTRACT(INDIRECT(""A""&amp;ROW()+1),""\d+""))-1)*7
+ INT((COLUMN()-COLUMN($B379))/3)
"),46249)</f>
        <v>46249</v>
      </c>
      <c r="U379" s="81"/>
      <c r="V379" s="82"/>
      <c r="W379" s="52" t="s">
        <v>20</v>
      </c>
    </row>
    <row r="380" spans="1:23" ht="15.75" customHeight="1">
      <c r="A380" s="47" t="s">
        <v>161</v>
      </c>
      <c r="B380" s="113"/>
      <c r="C380" s="109"/>
      <c r="D380" s="50">
        <f>V378+C380</f>
        <v>-1459</v>
      </c>
      <c r="E380" s="112"/>
      <c r="F380" s="111"/>
      <c r="G380" s="17">
        <f>D390+F380</f>
        <v>-1459</v>
      </c>
      <c r="H380" s="132"/>
      <c r="I380" s="109"/>
      <c r="J380" s="42">
        <f>G390+I380</f>
        <v>-1459</v>
      </c>
      <c r="K380" s="112"/>
      <c r="L380" s="111"/>
      <c r="M380" s="18">
        <f>J390+L380</f>
        <v>-1459</v>
      </c>
      <c r="N380" s="113"/>
      <c r="O380" s="109"/>
      <c r="P380" s="35">
        <f>M390+O380</f>
        <v>-1459</v>
      </c>
      <c r="Q380" s="112"/>
      <c r="R380" s="111"/>
      <c r="S380" s="18">
        <f>P390+R380</f>
        <v>-1459</v>
      </c>
      <c r="T380" s="173"/>
      <c r="U380" s="173"/>
      <c r="V380" s="50">
        <f>S390+U380</f>
        <v>-1459</v>
      </c>
      <c r="W380" s="172"/>
    </row>
    <row r="381" spans="1:23" ht="15.75" customHeight="1">
      <c r="A381" s="114"/>
      <c r="B381" s="118"/>
      <c r="C381" s="117"/>
      <c r="D381" s="45">
        <f t="shared" ref="D381:D390" si="224">D380+C381</f>
        <v>-1459</v>
      </c>
      <c r="E381" s="106"/>
      <c r="F381" s="107"/>
      <c r="G381" s="26">
        <f t="shared" ref="G381:G390" si="225">G380+F381</f>
        <v>-1459</v>
      </c>
      <c r="H381" s="133"/>
      <c r="I381" s="117"/>
      <c r="J381" s="19">
        <f t="shared" ref="J381:J390" si="226">J380+I381</f>
        <v>-1459</v>
      </c>
      <c r="K381" s="106"/>
      <c r="L381" s="107"/>
      <c r="M381" s="26">
        <f t="shared" ref="M381:M390" si="227">M380+L381</f>
        <v>-1459</v>
      </c>
      <c r="N381" s="118"/>
      <c r="O381" s="117"/>
      <c r="P381" s="38">
        <f t="shared" ref="P381:P390" si="228">P380+O381</f>
        <v>-1459</v>
      </c>
      <c r="Q381" s="106"/>
      <c r="R381" s="107"/>
      <c r="S381" s="26">
        <f t="shared" ref="S381:S390" si="229">S380+R381</f>
        <v>-1459</v>
      </c>
      <c r="T381" s="136"/>
      <c r="U381" s="136"/>
      <c r="V381" s="45">
        <f t="shared" ref="V381:V390" si="230">V380+U381</f>
        <v>-1459</v>
      </c>
      <c r="W381" s="143"/>
    </row>
    <row r="382" spans="1:23" ht="15.75" customHeight="1">
      <c r="A382" s="114"/>
      <c r="B382" s="118"/>
      <c r="C382" s="117"/>
      <c r="D382" s="45">
        <f t="shared" si="224"/>
        <v>-1459</v>
      </c>
      <c r="E382" s="106"/>
      <c r="F382" s="107"/>
      <c r="G382" s="26">
        <f t="shared" si="225"/>
        <v>-1459</v>
      </c>
      <c r="H382" s="133"/>
      <c r="I382" s="117"/>
      <c r="J382" s="19">
        <f t="shared" si="226"/>
        <v>-1459</v>
      </c>
      <c r="K382" s="106"/>
      <c r="L382" s="107"/>
      <c r="M382" s="26">
        <f t="shared" si="227"/>
        <v>-1459</v>
      </c>
      <c r="N382" s="117"/>
      <c r="O382" s="117"/>
      <c r="P382" s="38">
        <f t="shared" si="228"/>
        <v>-1459</v>
      </c>
      <c r="Q382" s="106"/>
      <c r="R382" s="107"/>
      <c r="S382" s="26">
        <f t="shared" si="229"/>
        <v>-1459</v>
      </c>
      <c r="T382" s="136"/>
      <c r="U382" s="136"/>
      <c r="V382" s="45">
        <f t="shared" si="230"/>
        <v>-1459</v>
      </c>
      <c r="W382" s="143"/>
    </row>
    <row r="383" spans="1:23" ht="15.75" customHeight="1">
      <c r="A383" s="114"/>
      <c r="B383" s="118"/>
      <c r="C383" s="117"/>
      <c r="D383" s="45">
        <f t="shared" si="224"/>
        <v>-1459</v>
      </c>
      <c r="E383" s="106"/>
      <c r="F383" s="107"/>
      <c r="G383" s="26">
        <f t="shared" si="225"/>
        <v>-1459</v>
      </c>
      <c r="H383" s="117"/>
      <c r="I383" s="117"/>
      <c r="J383" s="19">
        <f t="shared" si="226"/>
        <v>-1459</v>
      </c>
      <c r="K383" s="106"/>
      <c r="L383" s="107"/>
      <c r="M383" s="26">
        <f t="shared" si="227"/>
        <v>-1459</v>
      </c>
      <c r="N383" s="117"/>
      <c r="O383" s="117"/>
      <c r="P383" s="38">
        <f t="shared" si="228"/>
        <v>-1459</v>
      </c>
      <c r="Q383" s="106"/>
      <c r="R383" s="107"/>
      <c r="S383" s="26">
        <f t="shared" si="229"/>
        <v>-1459</v>
      </c>
      <c r="T383" s="136"/>
      <c r="U383" s="136"/>
      <c r="V383" s="45">
        <f t="shared" si="230"/>
        <v>-1459</v>
      </c>
      <c r="W383" s="143"/>
    </row>
    <row r="384" spans="1:23" ht="15.75" customHeight="1">
      <c r="A384" s="114"/>
      <c r="B384" s="118"/>
      <c r="C384" s="117"/>
      <c r="D384" s="45">
        <f t="shared" si="224"/>
        <v>-1459</v>
      </c>
      <c r="E384" s="106"/>
      <c r="F384" s="107"/>
      <c r="G384" s="26">
        <f t="shared" si="225"/>
        <v>-1459</v>
      </c>
      <c r="H384" s="117"/>
      <c r="I384" s="117"/>
      <c r="J384" s="19">
        <f t="shared" si="226"/>
        <v>-1459</v>
      </c>
      <c r="K384" s="106"/>
      <c r="L384" s="107"/>
      <c r="M384" s="26">
        <f t="shared" si="227"/>
        <v>-1459</v>
      </c>
      <c r="N384" s="117"/>
      <c r="O384" s="117"/>
      <c r="P384" s="38">
        <f t="shared" si="228"/>
        <v>-1459</v>
      </c>
      <c r="Q384" s="106"/>
      <c r="R384" s="107"/>
      <c r="S384" s="26">
        <f t="shared" si="229"/>
        <v>-1459</v>
      </c>
      <c r="T384" s="136"/>
      <c r="U384" s="136"/>
      <c r="V384" s="45">
        <f t="shared" si="230"/>
        <v>-1459</v>
      </c>
      <c r="W384" s="143"/>
    </row>
    <row r="385" spans="1:23" ht="15.75" customHeight="1">
      <c r="A385" s="114"/>
      <c r="B385" s="118"/>
      <c r="C385" s="117"/>
      <c r="D385" s="45">
        <f t="shared" si="224"/>
        <v>-1459</v>
      </c>
      <c r="E385" s="106"/>
      <c r="F385" s="107"/>
      <c r="G385" s="26">
        <f t="shared" si="225"/>
        <v>-1459</v>
      </c>
      <c r="H385" s="117"/>
      <c r="I385" s="117"/>
      <c r="J385" s="19">
        <f t="shared" si="226"/>
        <v>-1459</v>
      </c>
      <c r="K385" s="106"/>
      <c r="L385" s="107"/>
      <c r="M385" s="26">
        <f t="shared" si="227"/>
        <v>-1459</v>
      </c>
      <c r="N385" s="117"/>
      <c r="O385" s="117"/>
      <c r="P385" s="38">
        <f t="shared" si="228"/>
        <v>-1459</v>
      </c>
      <c r="Q385" s="106"/>
      <c r="R385" s="107"/>
      <c r="S385" s="26">
        <f t="shared" si="229"/>
        <v>-1459</v>
      </c>
      <c r="T385" s="136"/>
      <c r="U385" s="136"/>
      <c r="V385" s="45">
        <f t="shared" si="230"/>
        <v>-1459</v>
      </c>
      <c r="W385" s="143"/>
    </row>
    <row r="386" spans="1:23" ht="15.75" customHeight="1">
      <c r="A386" s="114"/>
      <c r="B386" s="118"/>
      <c r="C386" s="117"/>
      <c r="D386" s="45">
        <f t="shared" si="224"/>
        <v>-1459</v>
      </c>
      <c r="E386" s="106"/>
      <c r="F386" s="107"/>
      <c r="G386" s="26">
        <f t="shared" si="225"/>
        <v>-1459</v>
      </c>
      <c r="H386" s="117"/>
      <c r="I386" s="117"/>
      <c r="J386" s="19">
        <f t="shared" si="226"/>
        <v>-1459</v>
      </c>
      <c r="K386" s="106"/>
      <c r="L386" s="107"/>
      <c r="M386" s="26">
        <f t="shared" si="227"/>
        <v>-1459</v>
      </c>
      <c r="N386" s="117"/>
      <c r="O386" s="117"/>
      <c r="P386" s="38">
        <f t="shared" si="228"/>
        <v>-1459</v>
      </c>
      <c r="Q386" s="106"/>
      <c r="R386" s="107"/>
      <c r="S386" s="26">
        <f t="shared" si="229"/>
        <v>-1459</v>
      </c>
      <c r="T386" s="136"/>
      <c r="U386" s="136"/>
      <c r="V386" s="45">
        <f t="shared" si="230"/>
        <v>-1459</v>
      </c>
      <c r="W386" s="143"/>
    </row>
    <row r="387" spans="1:23" ht="15.75" customHeight="1">
      <c r="A387" s="114"/>
      <c r="B387" s="117"/>
      <c r="C387" s="117"/>
      <c r="D387" s="45">
        <f t="shared" si="224"/>
        <v>-1459</v>
      </c>
      <c r="E387" s="106"/>
      <c r="F387" s="107"/>
      <c r="G387" s="26">
        <f t="shared" si="225"/>
        <v>-1459</v>
      </c>
      <c r="H387" s="117"/>
      <c r="I387" s="117"/>
      <c r="J387" s="19">
        <f t="shared" si="226"/>
        <v>-1459</v>
      </c>
      <c r="K387" s="106"/>
      <c r="L387" s="107"/>
      <c r="M387" s="26">
        <f t="shared" si="227"/>
        <v>-1459</v>
      </c>
      <c r="N387" s="117"/>
      <c r="O387" s="117"/>
      <c r="P387" s="38">
        <f t="shared" si="228"/>
        <v>-1459</v>
      </c>
      <c r="Q387" s="106"/>
      <c r="R387" s="107"/>
      <c r="S387" s="26">
        <f t="shared" si="229"/>
        <v>-1459</v>
      </c>
      <c r="T387" s="136"/>
      <c r="U387" s="136"/>
      <c r="V387" s="45">
        <f t="shared" si="230"/>
        <v>-1459</v>
      </c>
      <c r="W387" s="143"/>
    </row>
    <row r="388" spans="1:23" ht="15.75" customHeight="1">
      <c r="A388" s="114"/>
      <c r="B388" s="117"/>
      <c r="C388" s="117"/>
      <c r="D388" s="45">
        <f t="shared" si="224"/>
        <v>-1459</v>
      </c>
      <c r="E388" s="106"/>
      <c r="F388" s="107"/>
      <c r="G388" s="26">
        <f t="shared" si="225"/>
        <v>-1459</v>
      </c>
      <c r="H388" s="117"/>
      <c r="I388" s="117"/>
      <c r="J388" s="19">
        <f t="shared" si="226"/>
        <v>-1459</v>
      </c>
      <c r="K388" s="106"/>
      <c r="L388" s="107"/>
      <c r="M388" s="26">
        <f t="shared" si="227"/>
        <v>-1459</v>
      </c>
      <c r="N388" s="117"/>
      <c r="O388" s="117"/>
      <c r="P388" s="38">
        <f t="shared" si="228"/>
        <v>-1459</v>
      </c>
      <c r="Q388" s="106"/>
      <c r="R388" s="107"/>
      <c r="S388" s="26">
        <f t="shared" si="229"/>
        <v>-1459</v>
      </c>
      <c r="T388" s="136"/>
      <c r="U388" s="136"/>
      <c r="V388" s="45">
        <f t="shared" si="230"/>
        <v>-1459</v>
      </c>
      <c r="W388" s="143"/>
    </row>
    <row r="389" spans="1:23" ht="15.75" customHeight="1">
      <c r="A389" s="114"/>
      <c r="B389" s="117"/>
      <c r="C389" s="117"/>
      <c r="D389" s="45">
        <f t="shared" si="224"/>
        <v>-1459</v>
      </c>
      <c r="E389" s="122"/>
      <c r="F389" s="123"/>
      <c r="G389" s="26">
        <f t="shared" si="225"/>
        <v>-1459</v>
      </c>
      <c r="H389" s="133"/>
      <c r="I389" s="117"/>
      <c r="J389" s="19">
        <f t="shared" si="226"/>
        <v>-1459</v>
      </c>
      <c r="K389" s="122"/>
      <c r="L389" s="123"/>
      <c r="M389" s="26">
        <f t="shared" si="227"/>
        <v>-1459</v>
      </c>
      <c r="N389" s="117"/>
      <c r="O389" s="117"/>
      <c r="P389" s="38">
        <f t="shared" si="228"/>
        <v>-1459</v>
      </c>
      <c r="Q389" s="122"/>
      <c r="R389" s="123"/>
      <c r="S389" s="26">
        <f t="shared" si="229"/>
        <v>-1459</v>
      </c>
      <c r="T389" s="136"/>
      <c r="U389" s="136"/>
      <c r="V389" s="45">
        <f t="shared" si="230"/>
        <v>-1459</v>
      </c>
      <c r="W389" s="143"/>
    </row>
    <row r="390" spans="1:23" ht="15.75" customHeight="1">
      <c r="A390" s="114"/>
      <c r="B390" s="128"/>
      <c r="C390" s="128"/>
      <c r="D390" s="46">
        <f t="shared" si="224"/>
        <v>-1459</v>
      </c>
      <c r="E390" s="122"/>
      <c r="F390" s="123"/>
      <c r="G390" s="39">
        <f t="shared" si="225"/>
        <v>-1459</v>
      </c>
      <c r="H390" s="140"/>
      <c r="I390" s="128"/>
      <c r="J390" s="29">
        <f t="shared" si="226"/>
        <v>-1459</v>
      </c>
      <c r="K390" s="122"/>
      <c r="L390" s="123"/>
      <c r="M390" s="39">
        <f t="shared" si="227"/>
        <v>-1459</v>
      </c>
      <c r="N390" s="128"/>
      <c r="O390" s="128"/>
      <c r="P390" s="40">
        <f t="shared" si="228"/>
        <v>-1459</v>
      </c>
      <c r="Q390" s="122"/>
      <c r="R390" s="123"/>
      <c r="S390" s="39">
        <f t="shared" si="229"/>
        <v>-1459</v>
      </c>
      <c r="T390" s="141"/>
      <c r="U390" s="141"/>
      <c r="V390" s="46">
        <f t="shared" si="230"/>
        <v>-1459</v>
      </c>
      <c r="W390" s="143"/>
    </row>
    <row r="391" spans="1:23" ht="15.75" customHeight="1">
      <c r="A391" s="87"/>
      <c r="B391" s="77">
        <f ca="1">IFERROR(__xludf.DUMMYFUNCTION("DATE(VALUE(LEFT($B$2,4)),VALUE(MID($B$2,6,2)),VALUE(RIGHT($B$2,2)))
+ (VALUE(REGEXEXTRACT(INDIRECT(""A""&amp;ROW()+1),""\d+""))-1)*7
+ INT((COLUMN()-COLUMN($B391))/3)
"),46250)</f>
        <v>46250</v>
      </c>
      <c r="C391" s="81"/>
      <c r="D391" s="82"/>
      <c r="E391" s="77">
        <f ca="1">IFERROR(__xludf.DUMMYFUNCTION("DATE(VALUE(LEFT($B$2,4)),VALUE(MID($B$2,6,2)),VALUE(RIGHT($B$2,2)))
+ (VALUE(REGEXEXTRACT(INDIRECT(""A""&amp;ROW()+1),""\d+""))-1)*7
+ INT((COLUMN()-COLUMN($B391))/3)
"),46251)</f>
        <v>46251</v>
      </c>
      <c r="F391" s="81"/>
      <c r="G391" s="82"/>
      <c r="H391" s="77">
        <f ca="1">IFERROR(__xludf.DUMMYFUNCTION("DATE(VALUE(LEFT($B$2,4)),VALUE(MID($B$2,6,2)),VALUE(RIGHT($B$2,2)))
+ (VALUE(REGEXEXTRACT(INDIRECT(""A""&amp;ROW()+1),""\d+""))-1)*7
+ INT((COLUMN()-COLUMN($B391))/3)
"),46252)</f>
        <v>46252</v>
      </c>
      <c r="I391" s="81"/>
      <c r="J391" s="82"/>
      <c r="K391" s="77">
        <f ca="1">IFERROR(__xludf.DUMMYFUNCTION("DATE(VALUE(LEFT($B$2,4)),VALUE(MID($B$2,6,2)),VALUE(RIGHT($B$2,2)))
+ (VALUE(REGEXEXTRACT(INDIRECT(""A""&amp;ROW()+1),""\d+""))-1)*7
+ INT((COLUMN()-COLUMN($B391))/3)
"),46253)</f>
        <v>46253</v>
      </c>
      <c r="L391" s="81"/>
      <c r="M391" s="82"/>
      <c r="N391" s="77">
        <f ca="1">IFERROR(__xludf.DUMMYFUNCTION("DATE(VALUE(LEFT($B$2,4)),VALUE(MID($B$2,6,2)),VALUE(RIGHT($B$2,2)))
+ (VALUE(REGEXEXTRACT(INDIRECT(""A""&amp;ROW()+1),""\d+""))-1)*7
+ INT((COLUMN()-COLUMN($B391))/3)
"),46254)</f>
        <v>46254</v>
      </c>
      <c r="O391" s="81"/>
      <c r="P391" s="82"/>
      <c r="Q391" s="77">
        <f ca="1">IFERROR(__xludf.DUMMYFUNCTION("DATE(VALUE(LEFT($B$2,4)),VALUE(MID($B$2,6,2)),VALUE(RIGHT($B$2,2)))
+ (VALUE(REGEXEXTRACT(INDIRECT(""A""&amp;ROW()+1),""\d+""))-1)*7
+ INT((COLUMN()-COLUMN($B391))/3)
"),46255)</f>
        <v>46255</v>
      </c>
      <c r="R391" s="81"/>
      <c r="S391" s="82"/>
      <c r="T391" s="77">
        <f ca="1">IFERROR(__xludf.DUMMYFUNCTION("DATE(VALUE(LEFT($B$2,4)),VALUE(MID($B$2,6,2)),VALUE(RIGHT($B$2,2)))
+ (VALUE(REGEXEXTRACT(INDIRECT(""A""&amp;ROW()+1),""\d+""))-1)*7
+ INT((COLUMN()-COLUMN($B391))/3)
"),46256)</f>
        <v>46256</v>
      </c>
      <c r="U391" s="81"/>
      <c r="V391" s="82"/>
      <c r="W391" s="143"/>
    </row>
    <row r="392" spans="1:23" ht="15.75" customHeight="1">
      <c r="A392" s="51" t="s">
        <v>162</v>
      </c>
      <c r="B392" s="112"/>
      <c r="C392" s="111"/>
      <c r="D392" s="48">
        <f>V390+C392</f>
        <v>-1459</v>
      </c>
      <c r="E392" s="113"/>
      <c r="F392" s="109"/>
      <c r="G392" s="42">
        <f>D402+F392</f>
        <v>-1459</v>
      </c>
      <c r="H392" s="110"/>
      <c r="I392" s="111"/>
      <c r="J392" s="17">
        <f>G402+I392</f>
        <v>-1459</v>
      </c>
      <c r="K392" s="109"/>
      <c r="L392" s="109"/>
      <c r="M392" s="35">
        <f>J402+L392</f>
        <v>-1459</v>
      </c>
      <c r="N392" s="112"/>
      <c r="O392" s="111"/>
      <c r="P392" s="17">
        <f>M402+O392</f>
        <v>-1459</v>
      </c>
      <c r="Q392" s="109"/>
      <c r="R392" s="109"/>
      <c r="S392" s="35">
        <f>P402+R392</f>
        <v>-1459</v>
      </c>
      <c r="T392" s="112"/>
      <c r="U392" s="111"/>
      <c r="V392" s="48">
        <f>S402+U392</f>
        <v>-1459</v>
      </c>
      <c r="W392" s="143"/>
    </row>
    <row r="393" spans="1:23" ht="15.75" customHeight="1">
      <c r="A393" s="114"/>
      <c r="B393" s="106"/>
      <c r="C393" s="107"/>
      <c r="D393" s="20">
        <f t="shared" ref="D393:D402" si="231">D392+C393</f>
        <v>-1459</v>
      </c>
      <c r="E393" s="118"/>
      <c r="F393" s="117"/>
      <c r="G393" s="19">
        <f t="shared" ref="G393:G402" si="232">G392+F393</f>
        <v>-1459</v>
      </c>
      <c r="H393" s="116"/>
      <c r="I393" s="107"/>
      <c r="J393" s="26">
        <f t="shared" ref="J393:J402" si="233">J392+I393</f>
        <v>-1459</v>
      </c>
      <c r="K393" s="117"/>
      <c r="L393" s="117"/>
      <c r="M393" s="38">
        <f t="shared" ref="M393:M402" si="234">M392+L393</f>
        <v>-1459</v>
      </c>
      <c r="N393" s="106"/>
      <c r="O393" s="107"/>
      <c r="P393" s="26">
        <f t="shared" ref="P393:P402" si="235">P392+O393</f>
        <v>-1459</v>
      </c>
      <c r="Q393" s="117"/>
      <c r="R393" s="117"/>
      <c r="S393" s="38">
        <f t="shared" ref="S393:S402" si="236">S392+R393</f>
        <v>-1459</v>
      </c>
      <c r="T393" s="106"/>
      <c r="U393" s="107"/>
      <c r="V393" s="20">
        <f t="shared" ref="V393:V402" si="237">V392+U393</f>
        <v>-1459</v>
      </c>
      <c r="W393" s="143"/>
    </row>
    <row r="394" spans="1:23" ht="15.75" customHeight="1">
      <c r="A394" s="114"/>
      <c r="B394" s="106"/>
      <c r="C394" s="107"/>
      <c r="D394" s="20">
        <f t="shared" si="231"/>
        <v>-1459</v>
      </c>
      <c r="E394" s="118"/>
      <c r="F394" s="117"/>
      <c r="G394" s="19">
        <f t="shared" si="232"/>
        <v>-1459</v>
      </c>
      <c r="H394" s="116"/>
      <c r="I394" s="107"/>
      <c r="J394" s="26">
        <f t="shared" si="233"/>
        <v>-1459</v>
      </c>
      <c r="K394" s="117"/>
      <c r="L394" s="117"/>
      <c r="M394" s="38">
        <f t="shared" si="234"/>
        <v>-1459</v>
      </c>
      <c r="N394" s="106"/>
      <c r="O394" s="107"/>
      <c r="P394" s="26">
        <f t="shared" si="235"/>
        <v>-1459</v>
      </c>
      <c r="Q394" s="117"/>
      <c r="R394" s="117"/>
      <c r="S394" s="38">
        <f t="shared" si="236"/>
        <v>-1459</v>
      </c>
      <c r="T394" s="106"/>
      <c r="U394" s="116"/>
      <c r="V394" s="20">
        <f t="shared" si="237"/>
        <v>-1459</v>
      </c>
      <c r="W394" s="143"/>
    </row>
    <row r="395" spans="1:23" ht="15.75" customHeight="1">
      <c r="A395" s="114"/>
      <c r="B395" s="106"/>
      <c r="C395" s="107"/>
      <c r="D395" s="20">
        <f t="shared" si="231"/>
        <v>-1459</v>
      </c>
      <c r="E395" s="118"/>
      <c r="F395" s="117"/>
      <c r="G395" s="19">
        <f t="shared" si="232"/>
        <v>-1459</v>
      </c>
      <c r="H395" s="116"/>
      <c r="I395" s="107"/>
      <c r="J395" s="26">
        <f t="shared" si="233"/>
        <v>-1459</v>
      </c>
      <c r="K395" s="117"/>
      <c r="L395" s="117"/>
      <c r="M395" s="38">
        <f t="shared" si="234"/>
        <v>-1459</v>
      </c>
      <c r="N395" s="106"/>
      <c r="O395" s="107"/>
      <c r="P395" s="26">
        <f t="shared" si="235"/>
        <v>-1459</v>
      </c>
      <c r="Q395" s="117"/>
      <c r="R395" s="117"/>
      <c r="S395" s="38">
        <f t="shared" si="236"/>
        <v>-1459</v>
      </c>
      <c r="T395" s="106"/>
      <c r="U395" s="116"/>
      <c r="V395" s="20">
        <f t="shared" si="237"/>
        <v>-1459</v>
      </c>
      <c r="W395" s="143"/>
    </row>
    <row r="396" spans="1:23" ht="15.75" customHeight="1">
      <c r="A396" s="114"/>
      <c r="B396" s="106"/>
      <c r="C396" s="107"/>
      <c r="D396" s="20">
        <f t="shared" si="231"/>
        <v>-1459</v>
      </c>
      <c r="E396" s="118"/>
      <c r="F396" s="117"/>
      <c r="G396" s="19">
        <f t="shared" si="232"/>
        <v>-1459</v>
      </c>
      <c r="H396" s="116"/>
      <c r="I396" s="107"/>
      <c r="J396" s="26">
        <f t="shared" si="233"/>
        <v>-1459</v>
      </c>
      <c r="K396" s="117"/>
      <c r="L396" s="117"/>
      <c r="M396" s="38">
        <f t="shared" si="234"/>
        <v>-1459</v>
      </c>
      <c r="N396" s="106"/>
      <c r="O396" s="107"/>
      <c r="P396" s="26">
        <f t="shared" si="235"/>
        <v>-1459</v>
      </c>
      <c r="Q396" s="117"/>
      <c r="R396" s="117"/>
      <c r="S396" s="38">
        <f t="shared" si="236"/>
        <v>-1459</v>
      </c>
      <c r="T396" s="106"/>
      <c r="U396" s="116"/>
      <c r="V396" s="20">
        <f t="shared" si="237"/>
        <v>-1459</v>
      </c>
      <c r="W396" s="143"/>
    </row>
    <row r="397" spans="1:23" ht="15.75" customHeight="1">
      <c r="A397" s="114"/>
      <c r="B397" s="106"/>
      <c r="C397" s="107"/>
      <c r="D397" s="20">
        <f t="shared" si="231"/>
        <v>-1459</v>
      </c>
      <c r="E397" s="118"/>
      <c r="F397" s="117"/>
      <c r="G397" s="19">
        <f t="shared" si="232"/>
        <v>-1459</v>
      </c>
      <c r="H397" s="116"/>
      <c r="I397" s="107"/>
      <c r="J397" s="26">
        <f t="shared" si="233"/>
        <v>-1459</v>
      </c>
      <c r="K397" s="117"/>
      <c r="L397" s="117"/>
      <c r="M397" s="38">
        <f t="shared" si="234"/>
        <v>-1459</v>
      </c>
      <c r="N397" s="106"/>
      <c r="O397" s="107"/>
      <c r="P397" s="26">
        <f t="shared" si="235"/>
        <v>-1459</v>
      </c>
      <c r="Q397" s="117"/>
      <c r="R397" s="117"/>
      <c r="S397" s="38">
        <f t="shared" si="236"/>
        <v>-1459</v>
      </c>
      <c r="T397" s="106"/>
      <c r="U397" s="116"/>
      <c r="V397" s="20">
        <f t="shared" si="237"/>
        <v>-1459</v>
      </c>
      <c r="W397" s="143"/>
    </row>
    <row r="398" spans="1:23" ht="15.75" customHeight="1">
      <c r="A398" s="114"/>
      <c r="B398" s="106"/>
      <c r="C398" s="107"/>
      <c r="D398" s="20">
        <f t="shared" si="231"/>
        <v>-1459</v>
      </c>
      <c r="E398" s="118"/>
      <c r="F398" s="117"/>
      <c r="G398" s="19">
        <f t="shared" si="232"/>
        <v>-1459</v>
      </c>
      <c r="H398" s="116"/>
      <c r="I398" s="107"/>
      <c r="J398" s="26">
        <f t="shared" si="233"/>
        <v>-1459</v>
      </c>
      <c r="K398" s="117"/>
      <c r="L398" s="117"/>
      <c r="M398" s="38">
        <f t="shared" si="234"/>
        <v>-1459</v>
      </c>
      <c r="N398" s="106"/>
      <c r="O398" s="107"/>
      <c r="P398" s="26">
        <f t="shared" si="235"/>
        <v>-1459</v>
      </c>
      <c r="Q398" s="117"/>
      <c r="R398" s="117"/>
      <c r="S398" s="38">
        <f t="shared" si="236"/>
        <v>-1459</v>
      </c>
      <c r="T398" s="106"/>
      <c r="U398" s="116"/>
      <c r="V398" s="20">
        <f t="shared" si="237"/>
        <v>-1459</v>
      </c>
      <c r="W398" s="143"/>
    </row>
    <row r="399" spans="1:23" ht="15.75" customHeight="1">
      <c r="A399" s="114"/>
      <c r="B399" s="106"/>
      <c r="C399" s="107"/>
      <c r="D399" s="20">
        <f t="shared" si="231"/>
        <v>-1459</v>
      </c>
      <c r="E399" s="118"/>
      <c r="F399" s="117"/>
      <c r="G399" s="19">
        <f t="shared" si="232"/>
        <v>-1459</v>
      </c>
      <c r="H399" s="116"/>
      <c r="I399" s="107"/>
      <c r="J399" s="26">
        <f t="shared" si="233"/>
        <v>-1459</v>
      </c>
      <c r="K399" s="117"/>
      <c r="L399" s="117"/>
      <c r="M399" s="38">
        <f t="shared" si="234"/>
        <v>-1459</v>
      </c>
      <c r="N399" s="106"/>
      <c r="O399" s="107"/>
      <c r="P399" s="26">
        <f t="shared" si="235"/>
        <v>-1459</v>
      </c>
      <c r="Q399" s="117"/>
      <c r="R399" s="117"/>
      <c r="S399" s="38">
        <f t="shared" si="236"/>
        <v>-1459</v>
      </c>
      <c r="T399" s="106"/>
      <c r="U399" s="116"/>
      <c r="V399" s="20">
        <f t="shared" si="237"/>
        <v>-1459</v>
      </c>
      <c r="W399" s="143"/>
    </row>
    <row r="400" spans="1:23" ht="15.75" customHeight="1">
      <c r="A400" s="114"/>
      <c r="B400" s="122"/>
      <c r="C400" s="123"/>
      <c r="D400" s="20">
        <f t="shared" si="231"/>
        <v>-1459</v>
      </c>
      <c r="E400" s="118"/>
      <c r="F400" s="117"/>
      <c r="G400" s="19">
        <f t="shared" si="232"/>
        <v>-1459</v>
      </c>
      <c r="H400" s="124"/>
      <c r="I400" s="123"/>
      <c r="J400" s="26">
        <f t="shared" si="233"/>
        <v>-1459</v>
      </c>
      <c r="K400" s="117"/>
      <c r="L400" s="117"/>
      <c r="M400" s="38">
        <f t="shared" si="234"/>
        <v>-1459</v>
      </c>
      <c r="N400" s="122"/>
      <c r="O400" s="123"/>
      <c r="P400" s="26">
        <f t="shared" si="235"/>
        <v>-1459</v>
      </c>
      <c r="Q400" s="117"/>
      <c r="R400" s="117"/>
      <c r="S400" s="38">
        <f t="shared" si="236"/>
        <v>-1459</v>
      </c>
      <c r="T400" s="106"/>
      <c r="U400" s="116"/>
      <c r="V400" s="20">
        <f t="shared" si="237"/>
        <v>-1459</v>
      </c>
      <c r="W400" s="143"/>
    </row>
    <row r="401" spans="1:23" ht="15.75" customHeight="1">
      <c r="A401" s="114"/>
      <c r="B401" s="122"/>
      <c r="C401" s="123"/>
      <c r="D401" s="20">
        <f t="shared" si="231"/>
        <v>-1459</v>
      </c>
      <c r="E401" s="118"/>
      <c r="F401" s="117"/>
      <c r="G401" s="19">
        <f t="shared" si="232"/>
        <v>-1459</v>
      </c>
      <c r="H401" s="124"/>
      <c r="I401" s="123"/>
      <c r="J401" s="26">
        <f t="shared" si="233"/>
        <v>-1459</v>
      </c>
      <c r="K401" s="117"/>
      <c r="L401" s="117"/>
      <c r="M401" s="38">
        <f t="shared" si="234"/>
        <v>-1459</v>
      </c>
      <c r="N401" s="122"/>
      <c r="O401" s="123"/>
      <c r="P401" s="26">
        <f t="shared" si="235"/>
        <v>-1459</v>
      </c>
      <c r="Q401" s="117"/>
      <c r="R401" s="117"/>
      <c r="S401" s="38">
        <f t="shared" si="236"/>
        <v>-1459</v>
      </c>
      <c r="T401" s="122"/>
      <c r="U401" s="124"/>
      <c r="V401" s="20">
        <f t="shared" si="237"/>
        <v>-1459</v>
      </c>
      <c r="W401" s="143"/>
    </row>
    <row r="402" spans="1:23" ht="15.75" customHeight="1">
      <c r="A402" s="114"/>
      <c r="B402" s="122"/>
      <c r="C402" s="123"/>
      <c r="D402" s="49">
        <f t="shared" si="231"/>
        <v>-1459</v>
      </c>
      <c r="E402" s="154"/>
      <c r="F402" s="128"/>
      <c r="G402" s="29">
        <f t="shared" si="232"/>
        <v>-1459</v>
      </c>
      <c r="H402" s="124"/>
      <c r="I402" s="123"/>
      <c r="J402" s="39">
        <f t="shared" si="233"/>
        <v>-1459</v>
      </c>
      <c r="K402" s="128"/>
      <c r="L402" s="128"/>
      <c r="M402" s="40">
        <f t="shared" si="234"/>
        <v>-1459</v>
      </c>
      <c r="N402" s="122"/>
      <c r="O402" s="123"/>
      <c r="P402" s="39">
        <f t="shared" si="235"/>
        <v>-1459</v>
      </c>
      <c r="Q402" s="128"/>
      <c r="R402" s="128"/>
      <c r="S402" s="40">
        <f t="shared" si="236"/>
        <v>-1459</v>
      </c>
      <c r="T402" s="122"/>
      <c r="U402" s="123"/>
      <c r="V402" s="49">
        <f t="shared" si="237"/>
        <v>-1459</v>
      </c>
      <c r="W402" s="143"/>
    </row>
    <row r="403" spans="1:23" ht="15.75" customHeight="1">
      <c r="A403" s="87"/>
      <c r="B403" s="77">
        <f ca="1">IFERROR(__xludf.DUMMYFUNCTION("DATE(VALUE(LEFT($B$2,4)),VALUE(MID($B$2,6,2)),VALUE(RIGHT($B$2,2)))
+ (VALUE(REGEXEXTRACT(INDIRECT(""A""&amp;ROW()+1),""\d+""))-1)*7
+ INT((COLUMN()-COLUMN($B403))/3)
"),46257)</f>
        <v>46257</v>
      </c>
      <c r="C403" s="81"/>
      <c r="D403" s="82"/>
      <c r="E403" s="77">
        <f ca="1">IFERROR(__xludf.DUMMYFUNCTION("DATE(VALUE(LEFT($B$2,4)),VALUE(MID($B$2,6,2)),VALUE(RIGHT($B$2,2)))
+ (VALUE(REGEXEXTRACT(INDIRECT(""A""&amp;ROW()+1),""\d+""))-1)*7
+ INT((COLUMN()-COLUMN($B403))/3)
"),46258)</f>
        <v>46258</v>
      </c>
      <c r="F403" s="81"/>
      <c r="G403" s="82"/>
      <c r="H403" s="77">
        <f ca="1">IFERROR(__xludf.DUMMYFUNCTION("DATE(VALUE(LEFT($B$2,4)),VALUE(MID($B$2,6,2)),VALUE(RIGHT($B$2,2)))
+ (VALUE(REGEXEXTRACT(INDIRECT(""A""&amp;ROW()+1),""\d+""))-1)*7
+ INT((COLUMN()-COLUMN($B403))/3)
"),46259)</f>
        <v>46259</v>
      </c>
      <c r="I403" s="81"/>
      <c r="J403" s="82"/>
      <c r="K403" s="77">
        <f ca="1">IFERROR(__xludf.DUMMYFUNCTION("DATE(VALUE(LEFT($B$2,4)),VALUE(MID($B$2,6,2)),VALUE(RIGHT($B$2,2)))
+ (VALUE(REGEXEXTRACT(INDIRECT(""A""&amp;ROW()+1),""\d+""))-1)*7
+ INT((COLUMN()-COLUMN($B403))/3)
"),46260)</f>
        <v>46260</v>
      </c>
      <c r="L403" s="81"/>
      <c r="M403" s="82"/>
      <c r="N403" s="77">
        <f ca="1">IFERROR(__xludf.DUMMYFUNCTION("DATE(VALUE(LEFT($B$2,4)),VALUE(MID($B$2,6,2)),VALUE(RIGHT($B$2,2)))
+ (VALUE(REGEXEXTRACT(INDIRECT(""A""&amp;ROW()+1),""\d+""))-1)*7
+ INT((COLUMN()-COLUMN($B403))/3)
"),46261)</f>
        <v>46261</v>
      </c>
      <c r="O403" s="81"/>
      <c r="P403" s="82"/>
      <c r="Q403" s="77">
        <f ca="1">IFERROR(__xludf.DUMMYFUNCTION("DATE(VALUE(LEFT($B$2,4)),VALUE(MID($B$2,6,2)),VALUE(RIGHT($B$2,2)))
+ (VALUE(REGEXEXTRACT(INDIRECT(""A""&amp;ROW()+1),""\d+""))-1)*7
+ INT((COLUMN()-COLUMN($B403))/3)
"),46262)</f>
        <v>46262</v>
      </c>
      <c r="R403" s="81"/>
      <c r="S403" s="82"/>
      <c r="T403" s="77">
        <f ca="1">IFERROR(__xludf.DUMMYFUNCTION("DATE(VALUE(LEFT($B$2,4)),VALUE(MID($B$2,6,2)),VALUE(RIGHT($B$2,2)))
+ (VALUE(REGEXEXTRACT(INDIRECT(""A""&amp;ROW()+1),""\d+""))-1)*7
+ INT((COLUMN()-COLUMN($B403))/3)
"),46263)</f>
        <v>46263</v>
      </c>
      <c r="U403" s="81"/>
      <c r="V403" s="82"/>
      <c r="W403" s="52" t="s">
        <v>20</v>
      </c>
    </row>
    <row r="404" spans="1:23" ht="15.75" customHeight="1">
      <c r="A404" s="47" t="s">
        <v>163</v>
      </c>
      <c r="B404" s="113"/>
      <c r="C404" s="109"/>
      <c r="D404" s="50">
        <f>V402+C404</f>
        <v>-1459</v>
      </c>
      <c r="E404" s="112"/>
      <c r="F404" s="111"/>
      <c r="G404" s="17">
        <f>D414+F404</f>
        <v>-1459</v>
      </c>
      <c r="H404" s="132"/>
      <c r="I404" s="109"/>
      <c r="J404" s="42">
        <f>G414+I404</f>
        <v>-1459</v>
      </c>
      <c r="K404" s="112"/>
      <c r="L404" s="111"/>
      <c r="M404" s="18">
        <f>J414+L404</f>
        <v>-1459</v>
      </c>
      <c r="N404" s="113"/>
      <c r="O404" s="109"/>
      <c r="P404" s="35">
        <f>M414+O404</f>
        <v>-1459</v>
      </c>
      <c r="Q404" s="112"/>
      <c r="R404" s="111"/>
      <c r="S404" s="18">
        <f>P414+R404</f>
        <v>-1459</v>
      </c>
      <c r="T404" s="173"/>
      <c r="U404" s="173"/>
      <c r="V404" s="50">
        <f>S414+U404</f>
        <v>-1459</v>
      </c>
      <c r="W404" s="172"/>
    </row>
    <row r="405" spans="1:23" ht="15.75" customHeight="1">
      <c r="A405" s="114"/>
      <c r="B405" s="118"/>
      <c r="C405" s="117"/>
      <c r="D405" s="45">
        <f t="shared" ref="D405:D414" si="238">D404+C405</f>
        <v>-1459</v>
      </c>
      <c r="E405" s="106"/>
      <c r="F405" s="107"/>
      <c r="G405" s="26">
        <f t="shared" ref="G405:G414" si="239">G404+F405</f>
        <v>-1459</v>
      </c>
      <c r="H405" s="133"/>
      <c r="I405" s="117"/>
      <c r="J405" s="19">
        <f t="shared" ref="J405:J414" si="240">J404+I405</f>
        <v>-1459</v>
      </c>
      <c r="K405" s="106"/>
      <c r="L405" s="107"/>
      <c r="M405" s="26">
        <f t="shared" ref="M405:M414" si="241">M404+L405</f>
        <v>-1459</v>
      </c>
      <c r="N405" s="118"/>
      <c r="O405" s="117"/>
      <c r="P405" s="38">
        <f t="shared" ref="P405:P414" si="242">P404+O405</f>
        <v>-1459</v>
      </c>
      <c r="Q405" s="106"/>
      <c r="R405" s="107"/>
      <c r="S405" s="26">
        <f t="shared" ref="S405:S414" si="243">S404+R405</f>
        <v>-1459</v>
      </c>
      <c r="T405" s="136"/>
      <c r="U405" s="136"/>
      <c r="V405" s="45">
        <f t="shared" ref="V405:V414" si="244">V404+U405</f>
        <v>-1459</v>
      </c>
      <c r="W405" s="143"/>
    </row>
    <row r="406" spans="1:23" ht="15.75" customHeight="1">
      <c r="A406" s="114"/>
      <c r="B406" s="118"/>
      <c r="C406" s="117"/>
      <c r="D406" s="45">
        <f t="shared" si="238"/>
        <v>-1459</v>
      </c>
      <c r="E406" s="106"/>
      <c r="F406" s="107"/>
      <c r="G406" s="26">
        <f t="shared" si="239"/>
        <v>-1459</v>
      </c>
      <c r="H406" s="133"/>
      <c r="I406" s="117"/>
      <c r="J406" s="19">
        <f t="shared" si="240"/>
        <v>-1459</v>
      </c>
      <c r="K406" s="106"/>
      <c r="L406" s="107"/>
      <c r="M406" s="26">
        <f t="shared" si="241"/>
        <v>-1459</v>
      </c>
      <c r="N406" s="117"/>
      <c r="O406" s="117"/>
      <c r="P406" s="38">
        <f t="shared" si="242"/>
        <v>-1459</v>
      </c>
      <c r="Q406" s="106"/>
      <c r="R406" s="107"/>
      <c r="S406" s="26">
        <f t="shared" si="243"/>
        <v>-1459</v>
      </c>
      <c r="T406" s="136"/>
      <c r="U406" s="136"/>
      <c r="V406" s="45">
        <f t="shared" si="244"/>
        <v>-1459</v>
      </c>
      <c r="W406" s="143"/>
    </row>
    <row r="407" spans="1:23" ht="15.75" customHeight="1">
      <c r="A407" s="114"/>
      <c r="B407" s="118"/>
      <c r="C407" s="117"/>
      <c r="D407" s="45">
        <f t="shared" si="238"/>
        <v>-1459</v>
      </c>
      <c r="E407" s="106"/>
      <c r="F407" s="107"/>
      <c r="G407" s="26">
        <f t="shared" si="239"/>
        <v>-1459</v>
      </c>
      <c r="H407" s="133"/>
      <c r="I407" s="117"/>
      <c r="J407" s="19">
        <f t="shared" si="240"/>
        <v>-1459</v>
      </c>
      <c r="K407" s="106"/>
      <c r="L407" s="107"/>
      <c r="M407" s="26">
        <f t="shared" si="241"/>
        <v>-1459</v>
      </c>
      <c r="N407" s="117"/>
      <c r="O407" s="117"/>
      <c r="P407" s="38">
        <f t="shared" si="242"/>
        <v>-1459</v>
      </c>
      <c r="Q407" s="106"/>
      <c r="R407" s="107"/>
      <c r="S407" s="26">
        <f t="shared" si="243"/>
        <v>-1459</v>
      </c>
      <c r="T407" s="136"/>
      <c r="U407" s="136"/>
      <c r="V407" s="45">
        <f t="shared" si="244"/>
        <v>-1459</v>
      </c>
      <c r="W407" s="143"/>
    </row>
    <row r="408" spans="1:23" ht="15.75" customHeight="1">
      <c r="A408" s="114"/>
      <c r="B408" s="118"/>
      <c r="C408" s="117"/>
      <c r="D408" s="45">
        <f t="shared" si="238"/>
        <v>-1459</v>
      </c>
      <c r="E408" s="106"/>
      <c r="F408" s="107"/>
      <c r="G408" s="26">
        <f t="shared" si="239"/>
        <v>-1459</v>
      </c>
      <c r="H408" s="133"/>
      <c r="I408" s="117"/>
      <c r="J408" s="19">
        <f t="shared" si="240"/>
        <v>-1459</v>
      </c>
      <c r="K408" s="106"/>
      <c r="L408" s="107"/>
      <c r="M408" s="26">
        <f t="shared" si="241"/>
        <v>-1459</v>
      </c>
      <c r="N408" s="117"/>
      <c r="O408" s="117"/>
      <c r="P408" s="38">
        <f t="shared" si="242"/>
        <v>-1459</v>
      </c>
      <c r="Q408" s="106"/>
      <c r="R408" s="107"/>
      <c r="S408" s="26">
        <f t="shared" si="243"/>
        <v>-1459</v>
      </c>
      <c r="T408" s="136"/>
      <c r="U408" s="136"/>
      <c r="V408" s="45">
        <f t="shared" si="244"/>
        <v>-1459</v>
      </c>
      <c r="W408" s="143"/>
    </row>
    <row r="409" spans="1:23" ht="15.75" customHeight="1">
      <c r="A409" s="114"/>
      <c r="B409" s="118"/>
      <c r="C409" s="117"/>
      <c r="D409" s="45">
        <f t="shared" si="238"/>
        <v>-1459</v>
      </c>
      <c r="E409" s="106"/>
      <c r="F409" s="107"/>
      <c r="G409" s="26">
        <f t="shared" si="239"/>
        <v>-1459</v>
      </c>
      <c r="H409" s="133"/>
      <c r="I409" s="117"/>
      <c r="J409" s="19">
        <f t="shared" si="240"/>
        <v>-1459</v>
      </c>
      <c r="K409" s="106"/>
      <c r="L409" s="107"/>
      <c r="M409" s="26">
        <f t="shared" si="241"/>
        <v>-1459</v>
      </c>
      <c r="N409" s="117"/>
      <c r="O409" s="117"/>
      <c r="P409" s="38">
        <f t="shared" si="242"/>
        <v>-1459</v>
      </c>
      <c r="Q409" s="106"/>
      <c r="R409" s="107"/>
      <c r="S409" s="26">
        <f t="shared" si="243"/>
        <v>-1459</v>
      </c>
      <c r="T409" s="136"/>
      <c r="U409" s="136"/>
      <c r="V409" s="45">
        <f t="shared" si="244"/>
        <v>-1459</v>
      </c>
      <c r="W409" s="143"/>
    </row>
    <row r="410" spans="1:23" ht="15.75" customHeight="1">
      <c r="A410" s="114"/>
      <c r="B410" s="117"/>
      <c r="C410" s="117"/>
      <c r="D410" s="45">
        <f t="shared" si="238"/>
        <v>-1459</v>
      </c>
      <c r="E410" s="106"/>
      <c r="F410" s="107"/>
      <c r="G410" s="26">
        <f t="shared" si="239"/>
        <v>-1459</v>
      </c>
      <c r="H410" s="133"/>
      <c r="I410" s="117"/>
      <c r="J410" s="19">
        <f t="shared" si="240"/>
        <v>-1459</v>
      </c>
      <c r="K410" s="106"/>
      <c r="L410" s="107"/>
      <c r="M410" s="26">
        <f t="shared" si="241"/>
        <v>-1459</v>
      </c>
      <c r="N410" s="117"/>
      <c r="O410" s="117"/>
      <c r="P410" s="38">
        <f t="shared" si="242"/>
        <v>-1459</v>
      </c>
      <c r="Q410" s="106"/>
      <c r="R410" s="107"/>
      <c r="S410" s="26">
        <f t="shared" si="243"/>
        <v>-1459</v>
      </c>
      <c r="T410" s="136"/>
      <c r="U410" s="136"/>
      <c r="V410" s="45">
        <f t="shared" si="244"/>
        <v>-1459</v>
      </c>
      <c r="W410" s="143"/>
    </row>
    <row r="411" spans="1:23" ht="15.75" customHeight="1">
      <c r="A411" s="114"/>
      <c r="B411" s="117"/>
      <c r="C411" s="117"/>
      <c r="D411" s="45">
        <f t="shared" si="238"/>
        <v>-1459</v>
      </c>
      <c r="E411" s="106"/>
      <c r="F411" s="107"/>
      <c r="G411" s="26">
        <f t="shared" si="239"/>
        <v>-1459</v>
      </c>
      <c r="H411" s="133"/>
      <c r="I411" s="117"/>
      <c r="J411" s="19">
        <f t="shared" si="240"/>
        <v>-1459</v>
      </c>
      <c r="K411" s="106"/>
      <c r="L411" s="107"/>
      <c r="M411" s="26">
        <f t="shared" si="241"/>
        <v>-1459</v>
      </c>
      <c r="N411" s="117"/>
      <c r="O411" s="117"/>
      <c r="P411" s="38">
        <f t="shared" si="242"/>
        <v>-1459</v>
      </c>
      <c r="Q411" s="106"/>
      <c r="R411" s="107"/>
      <c r="S411" s="26">
        <f t="shared" si="243"/>
        <v>-1459</v>
      </c>
      <c r="T411" s="136"/>
      <c r="U411" s="136"/>
      <c r="V411" s="45">
        <f t="shared" si="244"/>
        <v>-1459</v>
      </c>
      <c r="W411" s="143"/>
    </row>
    <row r="412" spans="1:23" ht="15.75" customHeight="1">
      <c r="A412" s="114"/>
      <c r="B412" s="117"/>
      <c r="C412" s="117"/>
      <c r="D412" s="45">
        <f t="shared" si="238"/>
        <v>-1459</v>
      </c>
      <c r="E412" s="106"/>
      <c r="F412" s="107"/>
      <c r="G412" s="26">
        <f t="shared" si="239"/>
        <v>-1459</v>
      </c>
      <c r="H412" s="133"/>
      <c r="I412" s="117"/>
      <c r="J412" s="19">
        <f t="shared" si="240"/>
        <v>-1459</v>
      </c>
      <c r="K412" s="106"/>
      <c r="L412" s="107"/>
      <c r="M412" s="26">
        <f t="shared" si="241"/>
        <v>-1459</v>
      </c>
      <c r="N412" s="117"/>
      <c r="O412" s="117"/>
      <c r="P412" s="38">
        <f t="shared" si="242"/>
        <v>-1459</v>
      </c>
      <c r="Q412" s="106"/>
      <c r="R412" s="107"/>
      <c r="S412" s="26">
        <f t="shared" si="243"/>
        <v>-1459</v>
      </c>
      <c r="T412" s="136"/>
      <c r="U412" s="136"/>
      <c r="V412" s="45">
        <f t="shared" si="244"/>
        <v>-1459</v>
      </c>
      <c r="W412" s="143"/>
    </row>
    <row r="413" spans="1:23" ht="15.75" customHeight="1">
      <c r="A413" s="114"/>
      <c r="B413" s="117"/>
      <c r="C413" s="117"/>
      <c r="D413" s="45">
        <f t="shared" si="238"/>
        <v>-1459</v>
      </c>
      <c r="E413" s="122"/>
      <c r="F413" s="123"/>
      <c r="G413" s="26">
        <f t="shared" si="239"/>
        <v>-1459</v>
      </c>
      <c r="H413" s="133"/>
      <c r="I413" s="117"/>
      <c r="J413" s="19">
        <f t="shared" si="240"/>
        <v>-1459</v>
      </c>
      <c r="K413" s="122"/>
      <c r="L413" s="123"/>
      <c r="M413" s="26">
        <f t="shared" si="241"/>
        <v>-1459</v>
      </c>
      <c r="N413" s="117"/>
      <c r="O413" s="117"/>
      <c r="P413" s="38">
        <f t="shared" si="242"/>
        <v>-1459</v>
      </c>
      <c r="Q413" s="122"/>
      <c r="R413" s="123"/>
      <c r="S413" s="26">
        <f t="shared" si="243"/>
        <v>-1459</v>
      </c>
      <c r="T413" s="136"/>
      <c r="U413" s="136"/>
      <c r="V413" s="45">
        <f t="shared" si="244"/>
        <v>-1459</v>
      </c>
      <c r="W413" s="143"/>
    </row>
    <row r="414" spans="1:23" ht="15.75" customHeight="1">
      <c r="A414" s="114"/>
      <c r="B414" s="128"/>
      <c r="C414" s="128"/>
      <c r="D414" s="46">
        <f t="shared" si="238"/>
        <v>-1459</v>
      </c>
      <c r="E414" s="122"/>
      <c r="F414" s="123"/>
      <c r="G414" s="39">
        <f t="shared" si="239"/>
        <v>-1459</v>
      </c>
      <c r="H414" s="140"/>
      <c r="I414" s="128"/>
      <c r="J414" s="29">
        <f t="shared" si="240"/>
        <v>-1459</v>
      </c>
      <c r="K414" s="122"/>
      <c r="L414" s="123"/>
      <c r="M414" s="39">
        <f t="shared" si="241"/>
        <v>-1459</v>
      </c>
      <c r="N414" s="128"/>
      <c r="O414" s="128"/>
      <c r="P414" s="40">
        <f t="shared" si="242"/>
        <v>-1459</v>
      </c>
      <c r="Q414" s="122"/>
      <c r="R414" s="123"/>
      <c r="S414" s="39">
        <f t="shared" si="243"/>
        <v>-1459</v>
      </c>
      <c r="T414" s="141"/>
      <c r="U414" s="141"/>
      <c r="V414" s="46">
        <f t="shared" si="244"/>
        <v>-1459</v>
      </c>
      <c r="W414" s="143"/>
    </row>
    <row r="415" spans="1:23" ht="15.75" customHeight="1">
      <c r="A415" s="87"/>
      <c r="B415" s="77">
        <f ca="1">IFERROR(__xludf.DUMMYFUNCTION("DATE(VALUE(LEFT($B$2,4)),VALUE(MID($B$2,6,2)),VALUE(RIGHT($B$2,2)))
+ (VALUE(REGEXEXTRACT(INDIRECT(""A""&amp;ROW()+1),""\d+""))-1)*7
+ INT((COLUMN()-COLUMN($B415))/3)
"),46264)</f>
        <v>46264</v>
      </c>
      <c r="C415" s="81"/>
      <c r="D415" s="82"/>
      <c r="E415" s="77">
        <f ca="1">IFERROR(__xludf.DUMMYFUNCTION("DATE(VALUE(LEFT($B$2,4)),VALUE(MID($B$2,6,2)),VALUE(RIGHT($B$2,2)))
+ (VALUE(REGEXEXTRACT(INDIRECT(""A""&amp;ROW()+1),""\d+""))-1)*7
+ INT((COLUMN()-COLUMN($B415))/3)
"),46265)</f>
        <v>46265</v>
      </c>
      <c r="F415" s="81"/>
      <c r="G415" s="82"/>
      <c r="H415" s="77">
        <f ca="1">IFERROR(__xludf.DUMMYFUNCTION("DATE(VALUE(LEFT($B$2,4)),VALUE(MID($B$2,6,2)),VALUE(RIGHT($B$2,2)))
+ (VALUE(REGEXEXTRACT(INDIRECT(""A""&amp;ROW()+1),""\d+""))-1)*7
+ INT((COLUMN()-COLUMN($B415))/3)
"),46266)</f>
        <v>46266</v>
      </c>
      <c r="I415" s="81"/>
      <c r="J415" s="82"/>
      <c r="K415" s="77">
        <f ca="1">IFERROR(__xludf.DUMMYFUNCTION("DATE(VALUE(LEFT($B$2,4)),VALUE(MID($B$2,6,2)),VALUE(RIGHT($B$2,2)))
+ (VALUE(REGEXEXTRACT(INDIRECT(""A""&amp;ROW()+1),""\d+""))-1)*7
+ INT((COLUMN()-COLUMN($B415))/3)
"),46267)</f>
        <v>46267</v>
      </c>
      <c r="L415" s="81"/>
      <c r="M415" s="82"/>
      <c r="N415" s="77">
        <f ca="1">IFERROR(__xludf.DUMMYFUNCTION("DATE(VALUE(LEFT($B$2,4)),VALUE(MID($B$2,6,2)),VALUE(RIGHT($B$2,2)))
+ (VALUE(REGEXEXTRACT(INDIRECT(""A""&amp;ROW()+1),""\d+""))-1)*7
+ INT((COLUMN()-COLUMN($B415))/3)
"),46268)</f>
        <v>46268</v>
      </c>
      <c r="O415" s="81"/>
      <c r="P415" s="82"/>
      <c r="Q415" s="77">
        <f ca="1">IFERROR(__xludf.DUMMYFUNCTION("DATE(VALUE(LEFT($B$2,4)),VALUE(MID($B$2,6,2)),VALUE(RIGHT($B$2,2)))
+ (VALUE(REGEXEXTRACT(INDIRECT(""A""&amp;ROW()+1),""\d+""))-1)*7
+ INT((COLUMN()-COLUMN($B415))/3)
"),46269)</f>
        <v>46269</v>
      </c>
      <c r="R415" s="81"/>
      <c r="S415" s="82"/>
      <c r="T415" s="77">
        <f ca="1">IFERROR(__xludf.DUMMYFUNCTION("DATE(VALUE(LEFT($B$2,4)),VALUE(MID($B$2,6,2)),VALUE(RIGHT($B$2,2)))
+ (VALUE(REGEXEXTRACT(INDIRECT(""A""&amp;ROW()+1),""\d+""))-1)*7
+ INT((COLUMN()-COLUMN($B415))/3)
"),46270)</f>
        <v>46270</v>
      </c>
      <c r="U415" s="81"/>
      <c r="V415" s="82"/>
      <c r="W415" s="143"/>
    </row>
    <row r="416" spans="1:23" ht="15.75" customHeight="1">
      <c r="A416" s="51" t="s">
        <v>164</v>
      </c>
      <c r="B416" s="112"/>
      <c r="C416" s="111"/>
      <c r="D416" s="17">
        <f>V414+C416</f>
        <v>-1459</v>
      </c>
      <c r="E416" s="109"/>
      <c r="F416" s="109"/>
      <c r="G416" s="42">
        <f>D426+F416</f>
        <v>-1459</v>
      </c>
      <c r="H416" s="112"/>
      <c r="I416" s="111"/>
      <c r="J416" s="17">
        <f>G426+I416</f>
        <v>-1459</v>
      </c>
      <c r="K416" s="109"/>
      <c r="L416" s="109"/>
      <c r="M416" s="35">
        <f>J426+L416</f>
        <v>-1459</v>
      </c>
      <c r="N416" s="112"/>
      <c r="O416" s="111"/>
      <c r="P416" s="17">
        <f>M426+O416</f>
        <v>-1459</v>
      </c>
      <c r="Q416" s="109"/>
      <c r="R416" s="109"/>
      <c r="S416" s="35">
        <f>P426+R416</f>
        <v>-1459</v>
      </c>
      <c r="T416" s="112"/>
      <c r="U416" s="111"/>
      <c r="V416" s="48">
        <f>S426+U416</f>
        <v>-1459</v>
      </c>
      <c r="W416" s="143"/>
    </row>
    <row r="417" spans="1:23" ht="15.75" customHeight="1">
      <c r="A417" s="114"/>
      <c r="B417" s="106"/>
      <c r="C417" s="107"/>
      <c r="D417" s="26">
        <f t="shared" ref="D417:D426" si="245">D416+C417</f>
        <v>-1459</v>
      </c>
      <c r="E417" s="117"/>
      <c r="F417" s="117"/>
      <c r="G417" s="19">
        <f t="shared" ref="G417:G426" si="246">G416+F417</f>
        <v>-1459</v>
      </c>
      <c r="H417" s="106"/>
      <c r="I417" s="107"/>
      <c r="J417" s="26">
        <f t="shared" ref="J417:J426" si="247">J416+I417</f>
        <v>-1459</v>
      </c>
      <c r="K417" s="117"/>
      <c r="L417" s="117"/>
      <c r="M417" s="38">
        <f t="shared" ref="M417:M426" si="248">M416+L417</f>
        <v>-1459</v>
      </c>
      <c r="N417" s="106"/>
      <c r="O417" s="107"/>
      <c r="P417" s="26">
        <f t="shared" ref="P417:P426" si="249">P416+O417</f>
        <v>-1459</v>
      </c>
      <c r="Q417" s="117"/>
      <c r="R417" s="117"/>
      <c r="S417" s="38">
        <f t="shared" ref="S417:S426" si="250">S416+R417</f>
        <v>-1459</v>
      </c>
      <c r="T417" s="106"/>
      <c r="U417" s="107"/>
      <c r="V417" s="20">
        <f t="shared" ref="V417:V426" si="251">V416+U417</f>
        <v>-1459</v>
      </c>
      <c r="W417" s="143"/>
    </row>
    <row r="418" spans="1:23" ht="15.75" customHeight="1">
      <c r="A418" s="114"/>
      <c r="B418" s="106"/>
      <c r="C418" s="107"/>
      <c r="D418" s="26">
        <f t="shared" si="245"/>
        <v>-1459</v>
      </c>
      <c r="E418" s="117"/>
      <c r="F418" s="117"/>
      <c r="G418" s="19">
        <f t="shared" si="246"/>
        <v>-1459</v>
      </c>
      <c r="H418" s="106"/>
      <c r="I418" s="107"/>
      <c r="J418" s="26">
        <f t="shared" si="247"/>
        <v>-1459</v>
      </c>
      <c r="K418" s="117"/>
      <c r="L418" s="117"/>
      <c r="M418" s="38">
        <f t="shared" si="248"/>
        <v>-1459</v>
      </c>
      <c r="N418" s="106"/>
      <c r="O418" s="107"/>
      <c r="P418" s="26">
        <f t="shared" si="249"/>
        <v>-1459</v>
      </c>
      <c r="Q418" s="117"/>
      <c r="R418" s="117"/>
      <c r="S418" s="38">
        <f t="shared" si="250"/>
        <v>-1459</v>
      </c>
      <c r="T418" s="106"/>
      <c r="U418" s="116"/>
      <c r="V418" s="20">
        <f t="shared" si="251"/>
        <v>-1459</v>
      </c>
      <c r="W418" s="143"/>
    </row>
    <row r="419" spans="1:23" ht="15.75" customHeight="1">
      <c r="A419" s="114"/>
      <c r="B419" s="106"/>
      <c r="C419" s="107"/>
      <c r="D419" s="26">
        <f t="shared" si="245"/>
        <v>-1459</v>
      </c>
      <c r="E419" s="117"/>
      <c r="F419" s="117"/>
      <c r="G419" s="19">
        <f t="shared" si="246"/>
        <v>-1459</v>
      </c>
      <c r="H419" s="106"/>
      <c r="I419" s="107"/>
      <c r="J419" s="26">
        <f t="shared" si="247"/>
        <v>-1459</v>
      </c>
      <c r="K419" s="117"/>
      <c r="L419" s="117"/>
      <c r="M419" s="38">
        <f t="shared" si="248"/>
        <v>-1459</v>
      </c>
      <c r="N419" s="106"/>
      <c r="O419" s="107"/>
      <c r="P419" s="26">
        <f t="shared" si="249"/>
        <v>-1459</v>
      </c>
      <c r="Q419" s="117"/>
      <c r="R419" s="117"/>
      <c r="S419" s="38">
        <f t="shared" si="250"/>
        <v>-1459</v>
      </c>
      <c r="T419" s="106"/>
      <c r="U419" s="116"/>
      <c r="V419" s="20">
        <f t="shared" si="251"/>
        <v>-1459</v>
      </c>
      <c r="W419" s="143"/>
    </row>
    <row r="420" spans="1:23" ht="15.75" customHeight="1">
      <c r="A420" s="114"/>
      <c r="B420" s="106"/>
      <c r="C420" s="107"/>
      <c r="D420" s="26">
        <f t="shared" si="245"/>
        <v>-1459</v>
      </c>
      <c r="E420" s="117"/>
      <c r="F420" s="117"/>
      <c r="G420" s="19">
        <f t="shared" si="246"/>
        <v>-1459</v>
      </c>
      <c r="H420" s="106"/>
      <c r="I420" s="107"/>
      <c r="J420" s="26">
        <f t="shared" si="247"/>
        <v>-1459</v>
      </c>
      <c r="K420" s="117"/>
      <c r="L420" s="117"/>
      <c r="M420" s="38">
        <f t="shared" si="248"/>
        <v>-1459</v>
      </c>
      <c r="N420" s="106"/>
      <c r="O420" s="107"/>
      <c r="P420" s="26">
        <f t="shared" si="249"/>
        <v>-1459</v>
      </c>
      <c r="Q420" s="117"/>
      <c r="R420" s="117"/>
      <c r="S420" s="38">
        <f t="shared" si="250"/>
        <v>-1459</v>
      </c>
      <c r="T420" s="106"/>
      <c r="U420" s="116"/>
      <c r="V420" s="20">
        <f t="shared" si="251"/>
        <v>-1459</v>
      </c>
      <c r="W420" s="143"/>
    </row>
    <row r="421" spans="1:23" ht="15.75" customHeight="1">
      <c r="A421" s="114"/>
      <c r="B421" s="106"/>
      <c r="C421" s="107"/>
      <c r="D421" s="26">
        <f t="shared" si="245"/>
        <v>-1459</v>
      </c>
      <c r="E421" s="117"/>
      <c r="F421" s="117"/>
      <c r="G421" s="19">
        <f t="shared" si="246"/>
        <v>-1459</v>
      </c>
      <c r="H421" s="106"/>
      <c r="I421" s="107"/>
      <c r="J421" s="26">
        <f t="shared" si="247"/>
        <v>-1459</v>
      </c>
      <c r="K421" s="117"/>
      <c r="L421" s="117"/>
      <c r="M421" s="38">
        <f t="shared" si="248"/>
        <v>-1459</v>
      </c>
      <c r="N421" s="106"/>
      <c r="O421" s="107"/>
      <c r="P421" s="26">
        <f t="shared" si="249"/>
        <v>-1459</v>
      </c>
      <c r="Q421" s="117"/>
      <c r="R421" s="117"/>
      <c r="S421" s="38">
        <f t="shared" si="250"/>
        <v>-1459</v>
      </c>
      <c r="T421" s="106"/>
      <c r="U421" s="116"/>
      <c r="V421" s="20">
        <f t="shared" si="251"/>
        <v>-1459</v>
      </c>
      <c r="W421" s="143"/>
    </row>
    <row r="422" spans="1:23" ht="15.75" customHeight="1">
      <c r="A422" s="114"/>
      <c r="B422" s="106"/>
      <c r="C422" s="107"/>
      <c r="D422" s="26">
        <f t="shared" si="245"/>
        <v>-1459</v>
      </c>
      <c r="E422" s="117"/>
      <c r="F422" s="117"/>
      <c r="G422" s="19">
        <f t="shared" si="246"/>
        <v>-1459</v>
      </c>
      <c r="H422" s="106"/>
      <c r="I422" s="107"/>
      <c r="J422" s="26">
        <f t="shared" si="247"/>
        <v>-1459</v>
      </c>
      <c r="K422" s="117"/>
      <c r="L422" s="117"/>
      <c r="M422" s="38">
        <f t="shared" si="248"/>
        <v>-1459</v>
      </c>
      <c r="N422" s="106"/>
      <c r="O422" s="107"/>
      <c r="P422" s="26">
        <f t="shared" si="249"/>
        <v>-1459</v>
      </c>
      <c r="Q422" s="117"/>
      <c r="R422" s="117"/>
      <c r="S422" s="38">
        <f t="shared" si="250"/>
        <v>-1459</v>
      </c>
      <c r="T422" s="106"/>
      <c r="U422" s="116"/>
      <c r="V422" s="20">
        <f t="shared" si="251"/>
        <v>-1459</v>
      </c>
      <c r="W422" s="143"/>
    </row>
    <row r="423" spans="1:23" ht="15.75" customHeight="1">
      <c r="A423" s="114"/>
      <c r="B423" s="106"/>
      <c r="C423" s="107"/>
      <c r="D423" s="26">
        <f t="shared" si="245"/>
        <v>-1459</v>
      </c>
      <c r="E423" s="117"/>
      <c r="F423" s="117"/>
      <c r="G423" s="19">
        <f t="shared" si="246"/>
        <v>-1459</v>
      </c>
      <c r="H423" s="106"/>
      <c r="I423" s="107"/>
      <c r="J423" s="26">
        <f t="shared" si="247"/>
        <v>-1459</v>
      </c>
      <c r="K423" s="117"/>
      <c r="L423" s="117"/>
      <c r="M423" s="38">
        <f t="shared" si="248"/>
        <v>-1459</v>
      </c>
      <c r="N423" s="106"/>
      <c r="O423" s="107"/>
      <c r="P423" s="26">
        <f t="shared" si="249"/>
        <v>-1459</v>
      </c>
      <c r="Q423" s="117"/>
      <c r="R423" s="117"/>
      <c r="S423" s="38">
        <f t="shared" si="250"/>
        <v>-1459</v>
      </c>
      <c r="T423" s="106"/>
      <c r="U423" s="116"/>
      <c r="V423" s="20">
        <f t="shared" si="251"/>
        <v>-1459</v>
      </c>
      <c r="W423" s="143"/>
    </row>
    <row r="424" spans="1:23" ht="15.75" customHeight="1">
      <c r="A424" s="114"/>
      <c r="B424" s="122"/>
      <c r="C424" s="123"/>
      <c r="D424" s="26">
        <f t="shared" si="245"/>
        <v>-1459</v>
      </c>
      <c r="E424" s="117"/>
      <c r="F424" s="117"/>
      <c r="G424" s="19">
        <f t="shared" si="246"/>
        <v>-1459</v>
      </c>
      <c r="H424" s="122"/>
      <c r="I424" s="123"/>
      <c r="J424" s="26">
        <f t="shared" si="247"/>
        <v>-1459</v>
      </c>
      <c r="K424" s="117"/>
      <c r="L424" s="117"/>
      <c r="M424" s="38">
        <f t="shared" si="248"/>
        <v>-1459</v>
      </c>
      <c r="N424" s="122"/>
      <c r="O424" s="123"/>
      <c r="P424" s="26">
        <f t="shared" si="249"/>
        <v>-1459</v>
      </c>
      <c r="Q424" s="117"/>
      <c r="R424" s="117"/>
      <c r="S424" s="38">
        <f t="shared" si="250"/>
        <v>-1459</v>
      </c>
      <c r="T424" s="106"/>
      <c r="U424" s="116"/>
      <c r="V424" s="20">
        <f t="shared" si="251"/>
        <v>-1459</v>
      </c>
      <c r="W424" s="143"/>
    </row>
    <row r="425" spans="1:23" ht="15.75" customHeight="1">
      <c r="A425" s="114"/>
      <c r="B425" s="122"/>
      <c r="C425" s="123"/>
      <c r="D425" s="26">
        <f t="shared" si="245"/>
        <v>-1459</v>
      </c>
      <c r="E425" s="117"/>
      <c r="F425" s="117"/>
      <c r="G425" s="19">
        <f t="shared" si="246"/>
        <v>-1459</v>
      </c>
      <c r="H425" s="122"/>
      <c r="I425" s="123"/>
      <c r="J425" s="26">
        <f t="shared" si="247"/>
        <v>-1459</v>
      </c>
      <c r="K425" s="117"/>
      <c r="L425" s="117"/>
      <c r="M425" s="38">
        <f t="shared" si="248"/>
        <v>-1459</v>
      </c>
      <c r="N425" s="122"/>
      <c r="O425" s="123"/>
      <c r="P425" s="26">
        <f t="shared" si="249"/>
        <v>-1459</v>
      </c>
      <c r="Q425" s="117"/>
      <c r="R425" s="117"/>
      <c r="S425" s="38">
        <f t="shared" si="250"/>
        <v>-1459</v>
      </c>
      <c r="T425" s="122"/>
      <c r="U425" s="124"/>
      <c r="V425" s="20">
        <f t="shared" si="251"/>
        <v>-1459</v>
      </c>
      <c r="W425" s="143"/>
    </row>
    <row r="426" spans="1:23" ht="15.75" customHeight="1">
      <c r="A426" s="114"/>
      <c r="B426" s="122"/>
      <c r="C426" s="123"/>
      <c r="D426" s="39">
        <f t="shared" si="245"/>
        <v>-1459</v>
      </c>
      <c r="E426" s="128"/>
      <c r="F426" s="128"/>
      <c r="G426" s="29">
        <f t="shared" si="246"/>
        <v>-1459</v>
      </c>
      <c r="H426" s="122"/>
      <c r="I426" s="123"/>
      <c r="J426" s="39">
        <f t="shared" si="247"/>
        <v>-1459</v>
      </c>
      <c r="K426" s="128"/>
      <c r="L426" s="128"/>
      <c r="M426" s="40">
        <f t="shared" si="248"/>
        <v>-1459</v>
      </c>
      <c r="N426" s="122"/>
      <c r="O426" s="123"/>
      <c r="P426" s="39">
        <f t="shared" si="249"/>
        <v>-1459</v>
      </c>
      <c r="Q426" s="128"/>
      <c r="R426" s="128"/>
      <c r="S426" s="40">
        <f t="shared" si="250"/>
        <v>-1459</v>
      </c>
      <c r="T426" s="122"/>
      <c r="U426" s="123"/>
      <c r="V426" s="49">
        <f t="shared" si="251"/>
        <v>-1459</v>
      </c>
      <c r="W426" s="143"/>
    </row>
    <row r="427" spans="1:23" ht="15.75" customHeight="1">
      <c r="A427" s="87"/>
      <c r="B427" s="77">
        <f ca="1">IFERROR(__xludf.DUMMYFUNCTION("DATE(VALUE(LEFT($B$2,4)),VALUE(MID($B$2,6,2)),VALUE(RIGHT($B$2,2)))
+ (VALUE(REGEXEXTRACT(INDIRECT(""A""&amp;ROW()+1),""\d+""))-1)*7
+ INT((COLUMN()-COLUMN($B427))/3)
"),46271)</f>
        <v>46271</v>
      </c>
      <c r="C427" s="81"/>
      <c r="D427" s="82"/>
      <c r="E427" s="77">
        <f ca="1">IFERROR(__xludf.DUMMYFUNCTION("DATE(VALUE(LEFT($B$2,4)),VALUE(MID($B$2,6,2)),VALUE(RIGHT($B$2,2)))
+ (VALUE(REGEXEXTRACT(INDIRECT(""A""&amp;ROW()+1),""\d+""))-1)*7
+ INT((COLUMN()-COLUMN($B427))/3)
"),46272)</f>
        <v>46272</v>
      </c>
      <c r="F427" s="81"/>
      <c r="G427" s="82"/>
      <c r="H427" s="77">
        <f ca="1">IFERROR(__xludf.DUMMYFUNCTION("DATE(VALUE(LEFT($B$2,4)),VALUE(MID($B$2,6,2)),VALUE(RIGHT($B$2,2)))
+ (VALUE(REGEXEXTRACT(INDIRECT(""A""&amp;ROW()+1),""\d+""))-1)*7
+ INT((COLUMN()-COLUMN($B427))/3)
"),46273)</f>
        <v>46273</v>
      </c>
      <c r="I427" s="81"/>
      <c r="J427" s="82"/>
      <c r="K427" s="77">
        <f ca="1">IFERROR(__xludf.DUMMYFUNCTION("DATE(VALUE(LEFT($B$2,4)),VALUE(MID($B$2,6,2)),VALUE(RIGHT($B$2,2)))
+ (VALUE(REGEXEXTRACT(INDIRECT(""A""&amp;ROW()+1),""\d+""))-1)*7
+ INT((COLUMN()-COLUMN($B427))/3)
"),46274)</f>
        <v>46274</v>
      </c>
      <c r="L427" s="81"/>
      <c r="M427" s="82"/>
      <c r="N427" s="77">
        <f ca="1">IFERROR(__xludf.DUMMYFUNCTION("DATE(VALUE(LEFT($B$2,4)),VALUE(MID($B$2,6,2)),VALUE(RIGHT($B$2,2)))
+ (VALUE(REGEXEXTRACT(INDIRECT(""A""&amp;ROW()+1),""\d+""))-1)*7
+ INT((COLUMN()-COLUMN($B427))/3)
"),46275)</f>
        <v>46275</v>
      </c>
      <c r="O427" s="81"/>
      <c r="P427" s="82"/>
      <c r="Q427" s="77">
        <f ca="1">IFERROR(__xludf.DUMMYFUNCTION("DATE(VALUE(LEFT($B$2,4)),VALUE(MID($B$2,6,2)),VALUE(RIGHT($B$2,2)))
+ (VALUE(REGEXEXTRACT(INDIRECT(""A""&amp;ROW()+1),""\d+""))-1)*7
+ INT((COLUMN()-COLUMN($B427))/3)
"),46276)</f>
        <v>46276</v>
      </c>
      <c r="R427" s="81"/>
      <c r="S427" s="82"/>
      <c r="T427" s="77">
        <f ca="1">IFERROR(__xludf.DUMMYFUNCTION("DATE(VALUE(LEFT($B$2,4)),VALUE(MID($B$2,6,2)),VALUE(RIGHT($B$2,2)))
+ (VALUE(REGEXEXTRACT(INDIRECT(""A""&amp;ROW()+1),""\d+""))-1)*7
+ INT((COLUMN()-COLUMN($B427))/3)
"),46277)</f>
        <v>46277</v>
      </c>
      <c r="U427" s="81"/>
      <c r="V427" s="82"/>
      <c r="W427" s="52" t="s">
        <v>20</v>
      </c>
    </row>
    <row r="428" spans="1:23" ht="15.75" customHeight="1">
      <c r="A428" s="47" t="s">
        <v>165</v>
      </c>
      <c r="B428" s="113"/>
      <c r="C428" s="109"/>
      <c r="D428" s="42">
        <f>V426+C428</f>
        <v>-1459</v>
      </c>
      <c r="E428" s="112"/>
      <c r="F428" s="111"/>
      <c r="G428" s="36">
        <f>D438+F428</f>
        <v>-1459</v>
      </c>
      <c r="H428" s="132"/>
      <c r="I428" s="109"/>
      <c r="J428" s="42">
        <f>G438+I428</f>
        <v>-1459</v>
      </c>
      <c r="K428" s="112"/>
      <c r="L428" s="111"/>
      <c r="M428" s="18">
        <f>J438+L428</f>
        <v>-1459</v>
      </c>
      <c r="N428" s="113"/>
      <c r="O428" s="109"/>
      <c r="P428" s="35">
        <f>M438+O428</f>
        <v>-1459</v>
      </c>
      <c r="Q428" s="112"/>
      <c r="R428" s="111"/>
      <c r="S428" s="18">
        <f>P438+R428</f>
        <v>-1459</v>
      </c>
      <c r="T428" s="173"/>
      <c r="U428" s="173"/>
      <c r="V428" s="50">
        <f>S438+U428</f>
        <v>-1459</v>
      </c>
      <c r="W428" s="172"/>
    </row>
    <row r="429" spans="1:23" ht="15.75" customHeight="1">
      <c r="A429" s="114"/>
      <c r="B429" s="118"/>
      <c r="C429" s="117"/>
      <c r="D429" s="19">
        <f t="shared" ref="D429:D438" si="252">D428+C429</f>
        <v>-1459</v>
      </c>
      <c r="E429" s="106"/>
      <c r="F429" s="107"/>
      <c r="G429" s="26">
        <f t="shared" ref="G429:G438" si="253">G428+F429</f>
        <v>-1459</v>
      </c>
      <c r="H429" s="133"/>
      <c r="I429" s="117"/>
      <c r="J429" s="19">
        <f t="shared" ref="J429:J438" si="254">J428+I429</f>
        <v>-1459</v>
      </c>
      <c r="K429" s="106"/>
      <c r="L429" s="107"/>
      <c r="M429" s="26">
        <f t="shared" ref="M429:M438" si="255">M428+L429</f>
        <v>-1459</v>
      </c>
      <c r="N429" s="118"/>
      <c r="O429" s="117"/>
      <c r="P429" s="38">
        <f t="shared" ref="P429:P438" si="256">P428+O429</f>
        <v>-1459</v>
      </c>
      <c r="Q429" s="106"/>
      <c r="R429" s="107"/>
      <c r="S429" s="26">
        <f t="shared" ref="S429:S438" si="257">S428+R429</f>
        <v>-1459</v>
      </c>
      <c r="T429" s="136"/>
      <c r="U429" s="136"/>
      <c r="V429" s="45">
        <f t="shared" ref="V429:V438" si="258">V428+U429</f>
        <v>-1459</v>
      </c>
      <c r="W429" s="143"/>
    </row>
    <row r="430" spans="1:23" ht="15.75" customHeight="1">
      <c r="A430" s="114"/>
      <c r="B430" s="118"/>
      <c r="C430" s="117"/>
      <c r="D430" s="19">
        <f t="shared" si="252"/>
        <v>-1459</v>
      </c>
      <c r="E430" s="106"/>
      <c r="F430" s="107"/>
      <c r="G430" s="26">
        <f t="shared" si="253"/>
        <v>-1459</v>
      </c>
      <c r="H430" s="133"/>
      <c r="I430" s="117"/>
      <c r="J430" s="19">
        <f t="shared" si="254"/>
        <v>-1459</v>
      </c>
      <c r="K430" s="106"/>
      <c r="L430" s="107"/>
      <c r="M430" s="26">
        <f t="shared" si="255"/>
        <v>-1459</v>
      </c>
      <c r="N430" s="117"/>
      <c r="O430" s="117"/>
      <c r="P430" s="38">
        <f t="shared" si="256"/>
        <v>-1459</v>
      </c>
      <c r="Q430" s="106"/>
      <c r="R430" s="107"/>
      <c r="S430" s="26">
        <f t="shared" si="257"/>
        <v>-1459</v>
      </c>
      <c r="T430" s="117"/>
      <c r="U430" s="117"/>
      <c r="V430" s="45">
        <f t="shared" si="258"/>
        <v>-1459</v>
      </c>
      <c r="W430" s="143"/>
    </row>
    <row r="431" spans="1:23" ht="15.75" customHeight="1">
      <c r="A431" s="114"/>
      <c r="B431" s="118"/>
      <c r="C431" s="117"/>
      <c r="D431" s="19">
        <f t="shared" si="252"/>
        <v>-1459</v>
      </c>
      <c r="E431" s="106"/>
      <c r="F431" s="107"/>
      <c r="G431" s="26">
        <f t="shared" si="253"/>
        <v>-1459</v>
      </c>
      <c r="H431" s="133"/>
      <c r="I431" s="117"/>
      <c r="J431" s="19">
        <f t="shared" si="254"/>
        <v>-1459</v>
      </c>
      <c r="K431" s="106"/>
      <c r="L431" s="107"/>
      <c r="M431" s="26">
        <f t="shared" si="255"/>
        <v>-1459</v>
      </c>
      <c r="N431" s="117"/>
      <c r="O431" s="117"/>
      <c r="P431" s="19">
        <f t="shared" si="256"/>
        <v>-1459</v>
      </c>
      <c r="Q431" s="106"/>
      <c r="R431" s="107"/>
      <c r="S431" s="26">
        <f t="shared" si="257"/>
        <v>-1459</v>
      </c>
      <c r="T431" s="136"/>
      <c r="U431" s="136"/>
      <c r="V431" s="45">
        <f t="shared" si="258"/>
        <v>-1459</v>
      </c>
      <c r="W431" s="143"/>
    </row>
    <row r="432" spans="1:23" ht="15.75" customHeight="1">
      <c r="A432" s="114"/>
      <c r="B432" s="118"/>
      <c r="C432" s="117"/>
      <c r="D432" s="19">
        <f t="shared" si="252"/>
        <v>-1459</v>
      </c>
      <c r="E432" s="106"/>
      <c r="F432" s="107"/>
      <c r="G432" s="26">
        <f t="shared" si="253"/>
        <v>-1459</v>
      </c>
      <c r="H432" s="133"/>
      <c r="I432" s="117"/>
      <c r="J432" s="19">
        <f t="shared" si="254"/>
        <v>-1459</v>
      </c>
      <c r="K432" s="106"/>
      <c r="L432" s="107"/>
      <c r="M432" s="26">
        <f t="shared" si="255"/>
        <v>-1459</v>
      </c>
      <c r="N432" s="117"/>
      <c r="O432" s="117"/>
      <c r="P432" s="19">
        <f t="shared" si="256"/>
        <v>-1459</v>
      </c>
      <c r="Q432" s="106"/>
      <c r="R432" s="107"/>
      <c r="S432" s="26">
        <f t="shared" si="257"/>
        <v>-1459</v>
      </c>
      <c r="T432" s="136"/>
      <c r="U432" s="136"/>
      <c r="V432" s="45">
        <f t="shared" si="258"/>
        <v>-1459</v>
      </c>
      <c r="W432" s="143"/>
    </row>
    <row r="433" spans="1:23" ht="15.75" customHeight="1">
      <c r="A433" s="114"/>
      <c r="B433" s="118"/>
      <c r="C433" s="117"/>
      <c r="D433" s="19">
        <f t="shared" si="252"/>
        <v>-1459</v>
      </c>
      <c r="E433" s="106"/>
      <c r="F433" s="107"/>
      <c r="G433" s="26">
        <f t="shared" si="253"/>
        <v>-1459</v>
      </c>
      <c r="H433" s="133"/>
      <c r="I433" s="117"/>
      <c r="J433" s="19">
        <f t="shared" si="254"/>
        <v>-1459</v>
      </c>
      <c r="K433" s="106"/>
      <c r="L433" s="107"/>
      <c r="M433" s="26">
        <f t="shared" si="255"/>
        <v>-1459</v>
      </c>
      <c r="N433" s="117"/>
      <c r="O433" s="117"/>
      <c r="P433" s="19">
        <f t="shared" si="256"/>
        <v>-1459</v>
      </c>
      <c r="Q433" s="106"/>
      <c r="R433" s="107"/>
      <c r="S433" s="26">
        <f t="shared" si="257"/>
        <v>-1459</v>
      </c>
      <c r="T433" s="136"/>
      <c r="U433" s="136"/>
      <c r="V433" s="45">
        <f t="shared" si="258"/>
        <v>-1459</v>
      </c>
      <c r="W433" s="143"/>
    </row>
    <row r="434" spans="1:23" ht="15.75" customHeight="1">
      <c r="A434" s="114"/>
      <c r="B434" s="117"/>
      <c r="C434" s="117"/>
      <c r="D434" s="19">
        <f t="shared" si="252"/>
        <v>-1459</v>
      </c>
      <c r="E434" s="106"/>
      <c r="F434" s="107"/>
      <c r="G434" s="26">
        <f t="shared" si="253"/>
        <v>-1459</v>
      </c>
      <c r="H434" s="133"/>
      <c r="I434" s="117"/>
      <c r="J434" s="19">
        <f t="shared" si="254"/>
        <v>-1459</v>
      </c>
      <c r="K434" s="106"/>
      <c r="L434" s="107"/>
      <c r="M434" s="26">
        <f t="shared" si="255"/>
        <v>-1459</v>
      </c>
      <c r="N434" s="117"/>
      <c r="O434" s="117"/>
      <c r="P434" s="19">
        <f t="shared" si="256"/>
        <v>-1459</v>
      </c>
      <c r="Q434" s="106"/>
      <c r="R434" s="107"/>
      <c r="S434" s="26">
        <f t="shared" si="257"/>
        <v>-1459</v>
      </c>
      <c r="T434" s="136"/>
      <c r="U434" s="136"/>
      <c r="V434" s="45">
        <f t="shared" si="258"/>
        <v>-1459</v>
      </c>
      <c r="W434" s="143"/>
    </row>
    <row r="435" spans="1:23" ht="15.75" customHeight="1">
      <c r="A435" s="114"/>
      <c r="B435" s="117"/>
      <c r="C435" s="117"/>
      <c r="D435" s="19">
        <f t="shared" si="252"/>
        <v>-1459</v>
      </c>
      <c r="E435" s="106"/>
      <c r="F435" s="107"/>
      <c r="G435" s="26">
        <f t="shared" si="253"/>
        <v>-1459</v>
      </c>
      <c r="H435" s="133"/>
      <c r="I435" s="117"/>
      <c r="J435" s="19">
        <f t="shared" si="254"/>
        <v>-1459</v>
      </c>
      <c r="K435" s="106"/>
      <c r="L435" s="107"/>
      <c r="M435" s="26">
        <f t="shared" si="255"/>
        <v>-1459</v>
      </c>
      <c r="N435" s="117"/>
      <c r="O435" s="117"/>
      <c r="P435" s="19">
        <f t="shared" si="256"/>
        <v>-1459</v>
      </c>
      <c r="Q435" s="106"/>
      <c r="R435" s="107"/>
      <c r="S435" s="26">
        <f t="shared" si="257"/>
        <v>-1459</v>
      </c>
      <c r="T435" s="136"/>
      <c r="U435" s="136"/>
      <c r="V435" s="45">
        <f t="shared" si="258"/>
        <v>-1459</v>
      </c>
      <c r="W435" s="143"/>
    </row>
    <row r="436" spans="1:23" ht="15.75" customHeight="1">
      <c r="A436" s="114"/>
      <c r="B436" s="117"/>
      <c r="C436" s="117"/>
      <c r="D436" s="19">
        <f t="shared" si="252"/>
        <v>-1459</v>
      </c>
      <c r="E436" s="106"/>
      <c r="F436" s="107"/>
      <c r="G436" s="26">
        <f t="shared" si="253"/>
        <v>-1459</v>
      </c>
      <c r="H436" s="133"/>
      <c r="I436" s="117"/>
      <c r="J436" s="19">
        <f t="shared" si="254"/>
        <v>-1459</v>
      </c>
      <c r="K436" s="106"/>
      <c r="L436" s="107"/>
      <c r="M436" s="26">
        <f t="shared" si="255"/>
        <v>-1459</v>
      </c>
      <c r="N436" s="117"/>
      <c r="O436" s="117"/>
      <c r="P436" s="19">
        <f t="shared" si="256"/>
        <v>-1459</v>
      </c>
      <c r="Q436" s="106"/>
      <c r="R436" s="107"/>
      <c r="S436" s="26">
        <f t="shared" si="257"/>
        <v>-1459</v>
      </c>
      <c r="T436" s="136"/>
      <c r="U436" s="136"/>
      <c r="V436" s="45">
        <f t="shared" si="258"/>
        <v>-1459</v>
      </c>
      <c r="W436" s="143"/>
    </row>
    <row r="437" spans="1:23" ht="15.75" customHeight="1">
      <c r="A437" s="114"/>
      <c r="B437" s="117"/>
      <c r="C437" s="117"/>
      <c r="D437" s="19">
        <f t="shared" si="252"/>
        <v>-1459</v>
      </c>
      <c r="E437" s="122"/>
      <c r="F437" s="123"/>
      <c r="G437" s="26">
        <f t="shared" si="253"/>
        <v>-1459</v>
      </c>
      <c r="H437" s="133"/>
      <c r="I437" s="117"/>
      <c r="J437" s="19">
        <f t="shared" si="254"/>
        <v>-1459</v>
      </c>
      <c r="K437" s="122"/>
      <c r="L437" s="123"/>
      <c r="M437" s="26">
        <f t="shared" si="255"/>
        <v>-1459</v>
      </c>
      <c r="N437" s="117"/>
      <c r="O437" s="117"/>
      <c r="P437" s="19">
        <f t="shared" si="256"/>
        <v>-1459</v>
      </c>
      <c r="Q437" s="106"/>
      <c r="R437" s="107"/>
      <c r="S437" s="26">
        <f t="shared" si="257"/>
        <v>-1459</v>
      </c>
      <c r="T437" s="136"/>
      <c r="U437" s="136"/>
      <c r="V437" s="45">
        <f t="shared" si="258"/>
        <v>-1459</v>
      </c>
      <c r="W437" s="143"/>
    </row>
    <row r="438" spans="1:23" ht="15.75" customHeight="1">
      <c r="A438" s="114"/>
      <c r="B438" s="128"/>
      <c r="C438" s="128"/>
      <c r="D438" s="29">
        <f t="shared" si="252"/>
        <v>-1459</v>
      </c>
      <c r="E438" s="122"/>
      <c r="F438" s="123"/>
      <c r="G438" s="53">
        <f t="shared" si="253"/>
        <v>-1459</v>
      </c>
      <c r="H438" s="140"/>
      <c r="I438" s="128"/>
      <c r="J438" s="29">
        <f t="shared" si="254"/>
        <v>-1459</v>
      </c>
      <c r="K438" s="122"/>
      <c r="L438" s="123"/>
      <c r="M438" s="39">
        <f t="shared" si="255"/>
        <v>-1459</v>
      </c>
      <c r="N438" s="128"/>
      <c r="O438" s="128"/>
      <c r="P438" s="55">
        <f t="shared" si="256"/>
        <v>-1459</v>
      </c>
      <c r="Q438" s="124"/>
      <c r="R438" s="123"/>
      <c r="S438" s="39">
        <f t="shared" si="257"/>
        <v>-1459</v>
      </c>
      <c r="T438" s="141"/>
      <c r="U438" s="141"/>
      <c r="V438" s="46">
        <f t="shared" si="258"/>
        <v>-1459</v>
      </c>
      <c r="W438" s="143"/>
    </row>
    <row r="439" spans="1:23" ht="15.75" customHeight="1">
      <c r="A439" s="87"/>
      <c r="B439" s="77">
        <f ca="1">IFERROR(__xludf.DUMMYFUNCTION("DATE(VALUE(LEFT($B$2,4)),VALUE(MID($B$2,6,2)),VALUE(RIGHT($B$2,2)))
+ (VALUE(REGEXEXTRACT(INDIRECT(""A""&amp;ROW()+1),""\d+""))-1)*7
+ INT((COLUMN()-COLUMN($B439))/3)
"),46278)</f>
        <v>46278</v>
      </c>
      <c r="C439" s="81"/>
      <c r="D439" s="82"/>
      <c r="E439" s="77">
        <f ca="1">IFERROR(__xludf.DUMMYFUNCTION("DATE(VALUE(LEFT($B$2,4)),VALUE(MID($B$2,6,2)),VALUE(RIGHT($B$2,2)))
+ (VALUE(REGEXEXTRACT(INDIRECT(""A""&amp;ROW()+1),""\d+""))-1)*7
+ INT((COLUMN()-COLUMN($B439))/3)
"),46279)</f>
        <v>46279</v>
      </c>
      <c r="F439" s="81"/>
      <c r="G439" s="82"/>
      <c r="H439" s="77">
        <f ca="1">IFERROR(__xludf.DUMMYFUNCTION("DATE(VALUE(LEFT($B$2,4)),VALUE(MID($B$2,6,2)),VALUE(RIGHT($B$2,2)))
+ (VALUE(REGEXEXTRACT(INDIRECT(""A""&amp;ROW()+1),""\d+""))-1)*7
+ INT((COLUMN()-COLUMN($B439))/3)
"),46280)</f>
        <v>46280</v>
      </c>
      <c r="I439" s="81"/>
      <c r="J439" s="82"/>
      <c r="K439" s="77">
        <f ca="1">IFERROR(__xludf.DUMMYFUNCTION("DATE(VALUE(LEFT($B$2,4)),VALUE(MID($B$2,6,2)),VALUE(RIGHT($B$2,2)))
+ (VALUE(REGEXEXTRACT(INDIRECT(""A""&amp;ROW()+1),""\d+""))-1)*7
+ INT((COLUMN()-COLUMN($B439))/3)
"),46281)</f>
        <v>46281</v>
      </c>
      <c r="L439" s="81"/>
      <c r="M439" s="82"/>
      <c r="N439" s="77">
        <f ca="1">IFERROR(__xludf.DUMMYFUNCTION("DATE(VALUE(LEFT($B$2,4)),VALUE(MID($B$2,6,2)),VALUE(RIGHT($B$2,2)))
+ (VALUE(REGEXEXTRACT(INDIRECT(""A""&amp;ROW()+1),""\d+""))-1)*7
+ INT((COLUMN()-COLUMN($B439))/3)
"),46282)</f>
        <v>46282</v>
      </c>
      <c r="O439" s="81"/>
      <c r="P439" s="82"/>
      <c r="Q439" s="77">
        <f ca="1">IFERROR(__xludf.DUMMYFUNCTION("DATE(VALUE(LEFT($B$2,4)),VALUE(MID($B$2,6,2)),VALUE(RIGHT($B$2,2)))
+ (VALUE(REGEXEXTRACT(INDIRECT(""A""&amp;ROW()+1),""\d+""))-1)*7
+ INT((COLUMN()-COLUMN($B439))/3)
"),46283)</f>
        <v>46283</v>
      </c>
      <c r="R439" s="81"/>
      <c r="S439" s="82"/>
      <c r="T439" s="77">
        <f ca="1">IFERROR(__xludf.DUMMYFUNCTION("DATE(VALUE(LEFT($B$2,4)),VALUE(MID($B$2,6,2)),VALUE(RIGHT($B$2,2)))
+ (VALUE(REGEXEXTRACT(INDIRECT(""A""&amp;ROW()+1),""\d+""))-1)*7
+ INT((COLUMN()-COLUMN($B439))/3)
"),46284)</f>
        <v>46284</v>
      </c>
      <c r="U439" s="81"/>
      <c r="V439" s="82"/>
      <c r="W439" s="143"/>
    </row>
    <row r="440" spans="1:23" ht="15.75" customHeight="1">
      <c r="A440" s="51" t="s">
        <v>166</v>
      </c>
      <c r="B440" s="112"/>
      <c r="C440" s="111"/>
      <c r="D440" s="17">
        <f>V438+C440</f>
        <v>-1459</v>
      </c>
      <c r="E440" s="109"/>
      <c r="F440" s="109"/>
      <c r="G440" s="54">
        <f>D450+F440</f>
        <v>-1459</v>
      </c>
      <c r="H440" s="110"/>
      <c r="I440" s="111"/>
      <c r="J440" s="17">
        <f>G450+I440</f>
        <v>-1459</v>
      </c>
      <c r="K440" s="109"/>
      <c r="L440" s="109"/>
      <c r="M440" s="35">
        <f>J450+L440</f>
        <v>-1459</v>
      </c>
      <c r="N440" s="112"/>
      <c r="O440" s="111"/>
      <c r="P440" s="17">
        <f>M450+O440</f>
        <v>-1459</v>
      </c>
      <c r="Q440" s="109"/>
      <c r="R440" s="109"/>
      <c r="S440" s="35">
        <f>P450+R440</f>
        <v>-1459</v>
      </c>
      <c r="T440" s="112"/>
      <c r="U440" s="111"/>
      <c r="V440" s="48">
        <f>S450+U440</f>
        <v>-1459</v>
      </c>
      <c r="W440" s="143"/>
    </row>
    <row r="441" spans="1:23" ht="15.75" customHeight="1">
      <c r="A441" s="114"/>
      <c r="B441" s="106"/>
      <c r="C441" s="107"/>
      <c r="D441" s="26">
        <f t="shared" ref="D441:D450" si="259">D440+C441</f>
        <v>-1459</v>
      </c>
      <c r="E441" s="117"/>
      <c r="F441" s="117"/>
      <c r="G441" s="19">
        <f t="shared" ref="G441:G450" si="260">G440+F441</f>
        <v>-1459</v>
      </c>
      <c r="H441" s="116"/>
      <c r="I441" s="107"/>
      <c r="J441" s="26">
        <f t="shared" ref="J441:J450" si="261">J440+I441</f>
        <v>-1459</v>
      </c>
      <c r="K441" s="117"/>
      <c r="L441" s="117"/>
      <c r="M441" s="38">
        <f t="shared" ref="M441:M450" si="262">M440+L441</f>
        <v>-1459</v>
      </c>
      <c r="N441" s="106"/>
      <c r="O441" s="107"/>
      <c r="P441" s="26">
        <f t="shared" ref="P441:P450" si="263">P440+O441</f>
        <v>-1459</v>
      </c>
      <c r="Q441" s="117"/>
      <c r="R441" s="117"/>
      <c r="S441" s="38">
        <f t="shared" ref="S441:S450" si="264">S440+R441</f>
        <v>-1459</v>
      </c>
      <c r="T441" s="106"/>
      <c r="U441" s="107"/>
      <c r="V441" s="20">
        <f t="shared" ref="V441:V450" si="265">V440+U441</f>
        <v>-1459</v>
      </c>
      <c r="W441" s="143"/>
    </row>
    <row r="442" spans="1:23" ht="15.75" customHeight="1">
      <c r="A442" s="114"/>
      <c r="B442" s="106"/>
      <c r="C442" s="107"/>
      <c r="D442" s="26">
        <f t="shared" si="259"/>
        <v>-1459</v>
      </c>
      <c r="E442" s="117"/>
      <c r="F442" s="117"/>
      <c r="G442" s="19">
        <f t="shared" si="260"/>
        <v>-1459</v>
      </c>
      <c r="H442" s="116"/>
      <c r="I442" s="107"/>
      <c r="J442" s="26">
        <f t="shared" si="261"/>
        <v>-1459</v>
      </c>
      <c r="K442" s="117"/>
      <c r="L442" s="117"/>
      <c r="M442" s="38">
        <f t="shared" si="262"/>
        <v>-1459</v>
      </c>
      <c r="N442" s="106"/>
      <c r="O442" s="107"/>
      <c r="P442" s="26">
        <f t="shared" si="263"/>
        <v>-1459</v>
      </c>
      <c r="Q442" s="117"/>
      <c r="R442" s="117"/>
      <c r="S442" s="38">
        <f t="shared" si="264"/>
        <v>-1459</v>
      </c>
      <c r="T442" s="106"/>
      <c r="U442" s="116"/>
      <c r="V442" s="20">
        <f t="shared" si="265"/>
        <v>-1459</v>
      </c>
      <c r="W442" s="143"/>
    </row>
    <row r="443" spans="1:23" ht="15.75" customHeight="1">
      <c r="A443" s="114"/>
      <c r="B443" s="106"/>
      <c r="C443" s="107"/>
      <c r="D443" s="26">
        <f t="shared" si="259"/>
        <v>-1459</v>
      </c>
      <c r="E443" s="117"/>
      <c r="F443" s="117"/>
      <c r="G443" s="19">
        <f t="shared" si="260"/>
        <v>-1459</v>
      </c>
      <c r="H443" s="116"/>
      <c r="I443" s="107"/>
      <c r="J443" s="26">
        <f t="shared" si="261"/>
        <v>-1459</v>
      </c>
      <c r="K443" s="117"/>
      <c r="L443" s="117"/>
      <c r="M443" s="38">
        <f t="shared" si="262"/>
        <v>-1459</v>
      </c>
      <c r="N443" s="106"/>
      <c r="O443" s="107"/>
      <c r="P443" s="26">
        <f t="shared" si="263"/>
        <v>-1459</v>
      </c>
      <c r="Q443" s="117"/>
      <c r="R443" s="117"/>
      <c r="S443" s="38">
        <f t="shared" si="264"/>
        <v>-1459</v>
      </c>
      <c r="T443" s="106"/>
      <c r="U443" s="116"/>
      <c r="V443" s="20">
        <f t="shared" si="265"/>
        <v>-1459</v>
      </c>
      <c r="W443" s="143"/>
    </row>
    <row r="444" spans="1:23" ht="15.75" customHeight="1">
      <c r="A444" s="114"/>
      <c r="B444" s="106"/>
      <c r="C444" s="107"/>
      <c r="D444" s="26">
        <f t="shared" si="259"/>
        <v>-1459</v>
      </c>
      <c r="E444" s="117"/>
      <c r="F444" s="117"/>
      <c r="G444" s="19">
        <f t="shared" si="260"/>
        <v>-1459</v>
      </c>
      <c r="H444" s="116"/>
      <c r="I444" s="107"/>
      <c r="J444" s="26">
        <f t="shared" si="261"/>
        <v>-1459</v>
      </c>
      <c r="K444" s="117"/>
      <c r="L444" s="117"/>
      <c r="M444" s="38">
        <f t="shared" si="262"/>
        <v>-1459</v>
      </c>
      <c r="N444" s="106"/>
      <c r="O444" s="107"/>
      <c r="P444" s="26">
        <f t="shared" si="263"/>
        <v>-1459</v>
      </c>
      <c r="Q444" s="117"/>
      <c r="R444" s="117"/>
      <c r="S444" s="38">
        <f t="shared" si="264"/>
        <v>-1459</v>
      </c>
      <c r="T444" s="106"/>
      <c r="U444" s="116"/>
      <c r="V444" s="20">
        <f t="shared" si="265"/>
        <v>-1459</v>
      </c>
      <c r="W444" s="143"/>
    </row>
    <row r="445" spans="1:23" ht="15.75" customHeight="1">
      <c r="A445" s="114"/>
      <c r="B445" s="106"/>
      <c r="C445" s="107"/>
      <c r="D445" s="26">
        <f t="shared" si="259"/>
        <v>-1459</v>
      </c>
      <c r="E445" s="117"/>
      <c r="F445" s="117"/>
      <c r="G445" s="19">
        <f t="shared" si="260"/>
        <v>-1459</v>
      </c>
      <c r="H445" s="116"/>
      <c r="I445" s="107"/>
      <c r="J445" s="26">
        <f t="shared" si="261"/>
        <v>-1459</v>
      </c>
      <c r="K445" s="117"/>
      <c r="L445" s="117"/>
      <c r="M445" s="38">
        <f t="shared" si="262"/>
        <v>-1459</v>
      </c>
      <c r="N445" s="106"/>
      <c r="O445" s="107"/>
      <c r="P445" s="26">
        <f t="shared" si="263"/>
        <v>-1459</v>
      </c>
      <c r="Q445" s="117"/>
      <c r="R445" s="117"/>
      <c r="S445" s="38">
        <f t="shared" si="264"/>
        <v>-1459</v>
      </c>
      <c r="T445" s="106"/>
      <c r="U445" s="116"/>
      <c r="V445" s="20">
        <f t="shared" si="265"/>
        <v>-1459</v>
      </c>
      <c r="W445" s="143"/>
    </row>
    <row r="446" spans="1:23" ht="15.75" customHeight="1">
      <c r="A446" s="114"/>
      <c r="B446" s="106"/>
      <c r="C446" s="107"/>
      <c r="D446" s="26">
        <f t="shared" si="259"/>
        <v>-1459</v>
      </c>
      <c r="E446" s="117"/>
      <c r="F446" s="117"/>
      <c r="G446" s="19">
        <f t="shared" si="260"/>
        <v>-1459</v>
      </c>
      <c r="H446" s="116"/>
      <c r="I446" s="107"/>
      <c r="J446" s="26">
        <f t="shared" si="261"/>
        <v>-1459</v>
      </c>
      <c r="K446" s="117"/>
      <c r="L446" s="117"/>
      <c r="M446" s="38">
        <f t="shared" si="262"/>
        <v>-1459</v>
      </c>
      <c r="N446" s="106"/>
      <c r="O446" s="107"/>
      <c r="P446" s="26">
        <f t="shared" si="263"/>
        <v>-1459</v>
      </c>
      <c r="Q446" s="117"/>
      <c r="R446" s="117"/>
      <c r="S446" s="38">
        <f t="shared" si="264"/>
        <v>-1459</v>
      </c>
      <c r="T446" s="106"/>
      <c r="U446" s="116"/>
      <c r="V446" s="20">
        <f t="shared" si="265"/>
        <v>-1459</v>
      </c>
      <c r="W446" s="143"/>
    </row>
    <row r="447" spans="1:23" ht="15.75" customHeight="1">
      <c r="A447" s="114"/>
      <c r="B447" s="106"/>
      <c r="C447" s="107"/>
      <c r="D447" s="26">
        <f t="shared" si="259"/>
        <v>-1459</v>
      </c>
      <c r="E447" s="117"/>
      <c r="F447" s="117"/>
      <c r="G447" s="19">
        <f t="shared" si="260"/>
        <v>-1459</v>
      </c>
      <c r="H447" s="116"/>
      <c r="I447" s="107"/>
      <c r="J447" s="26">
        <f t="shared" si="261"/>
        <v>-1459</v>
      </c>
      <c r="K447" s="117"/>
      <c r="L447" s="117"/>
      <c r="M447" s="38">
        <f t="shared" si="262"/>
        <v>-1459</v>
      </c>
      <c r="N447" s="106"/>
      <c r="O447" s="107"/>
      <c r="P447" s="26">
        <f t="shared" si="263"/>
        <v>-1459</v>
      </c>
      <c r="Q447" s="117"/>
      <c r="R447" s="117"/>
      <c r="S447" s="38">
        <f t="shared" si="264"/>
        <v>-1459</v>
      </c>
      <c r="T447" s="106"/>
      <c r="U447" s="116"/>
      <c r="V447" s="20">
        <f t="shared" si="265"/>
        <v>-1459</v>
      </c>
      <c r="W447" s="143"/>
    </row>
    <row r="448" spans="1:23" ht="15.75" customHeight="1">
      <c r="A448" s="114"/>
      <c r="B448" s="122"/>
      <c r="C448" s="123"/>
      <c r="D448" s="26">
        <f t="shared" si="259"/>
        <v>-1459</v>
      </c>
      <c r="E448" s="117"/>
      <c r="F448" s="117"/>
      <c r="G448" s="19">
        <f t="shared" si="260"/>
        <v>-1459</v>
      </c>
      <c r="H448" s="124"/>
      <c r="I448" s="123"/>
      <c r="J448" s="26">
        <f t="shared" si="261"/>
        <v>-1459</v>
      </c>
      <c r="K448" s="117"/>
      <c r="L448" s="117"/>
      <c r="M448" s="38">
        <f t="shared" si="262"/>
        <v>-1459</v>
      </c>
      <c r="N448" s="122"/>
      <c r="O448" s="123"/>
      <c r="P448" s="26">
        <f t="shared" si="263"/>
        <v>-1459</v>
      </c>
      <c r="Q448" s="117"/>
      <c r="R448" s="117"/>
      <c r="S448" s="38">
        <f t="shared" si="264"/>
        <v>-1459</v>
      </c>
      <c r="T448" s="106"/>
      <c r="U448" s="116"/>
      <c r="V448" s="20">
        <f t="shared" si="265"/>
        <v>-1459</v>
      </c>
      <c r="W448" s="143"/>
    </row>
    <row r="449" spans="1:23" ht="15.75" customHeight="1">
      <c r="A449" s="114"/>
      <c r="B449" s="122"/>
      <c r="C449" s="123"/>
      <c r="D449" s="26">
        <f t="shared" si="259"/>
        <v>-1459</v>
      </c>
      <c r="E449" s="117"/>
      <c r="F449" s="117"/>
      <c r="G449" s="19">
        <f t="shared" si="260"/>
        <v>-1459</v>
      </c>
      <c r="H449" s="124"/>
      <c r="I449" s="123"/>
      <c r="J449" s="26">
        <f t="shared" si="261"/>
        <v>-1459</v>
      </c>
      <c r="K449" s="117"/>
      <c r="L449" s="117"/>
      <c r="M449" s="38">
        <f t="shared" si="262"/>
        <v>-1459</v>
      </c>
      <c r="N449" s="122"/>
      <c r="O449" s="123"/>
      <c r="P449" s="26">
        <f t="shared" si="263"/>
        <v>-1459</v>
      </c>
      <c r="Q449" s="117"/>
      <c r="R449" s="117"/>
      <c r="S449" s="38">
        <f t="shared" si="264"/>
        <v>-1459</v>
      </c>
      <c r="T449" s="122"/>
      <c r="U449" s="124"/>
      <c r="V449" s="20">
        <f t="shared" si="265"/>
        <v>-1459</v>
      </c>
      <c r="W449" s="143"/>
    </row>
    <row r="450" spans="1:23" ht="15.75" customHeight="1">
      <c r="A450" s="114"/>
      <c r="B450" s="122"/>
      <c r="C450" s="123"/>
      <c r="D450" s="39">
        <f t="shared" si="259"/>
        <v>-1459</v>
      </c>
      <c r="E450" s="128"/>
      <c r="F450" s="128"/>
      <c r="G450" s="55">
        <f t="shared" si="260"/>
        <v>-1459</v>
      </c>
      <c r="H450" s="124"/>
      <c r="I450" s="123"/>
      <c r="J450" s="39">
        <f t="shared" si="261"/>
        <v>-1459</v>
      </c>
      <c r="K450" s="128"/>
      <c r="L450" s="128"/>
      <c r="M450" s="40">
        <f t="shared" si="262"/>
        <v>-1459</v>
      </c>
      <c r="N450" s="122"/>
      <c r="O450" s="123"/>
      <c r="P450" s="39">
        <f t="shared" si="263"/>
        <v>-1459</v>
      </c>
      <c r="Q450" s="128"/>
      <c r="R450" s="128"/>
      <c r="S450" s="40">
        <f t="shared" si="264"/>
        <v>-1459</v>
      </c>
      <c r="T450" s="122"/>
      <c r="U450" s="123"/>
      <c r="V450" s="49">
        <f t="shared" si="265"/>
        <v>-1459</v>
      </c>
      <c r="W450" s="143"/>
    </row>
    <row r="451" spans="1:23" ht="15.75" customHeight="1">
      <c r="A451" s="87"/>
      <c r="B451" s="77">
        <f ca="1">IFERROR(__xludf.DUMMYFUNCTION("DATE(VALUE(LEFT($B$2,4)),VALUE(MID($B$2,6,2)),VALUE(RIGHT($B$2,2)))
+ (VALUE(REGEXEXTRACT(INDIRECT(""A""&amp;ROW()+1),""\d+""))-1)*7
+ INT((COLUMN()-COLUMN($B451))/3)
"),46285)</f>
        <v>46285</v>
      </c>
      <c r="C451" s="81"/>
      <c r="D451" s="82"/>
      <c r="E451" s="77">
        <f ca="1">IFERROR(__xludf.DUMMYFUNCTION("DATE(VALUE(LEFT($B$2,4)),VALUE(MID($B$2,6,2)),VALUE(RIGHT($B$2,2)))
+ (VALUE(REGEXEXTRACT(INDIRECT(""A""&amp;ROW()+1),""\d+""))-1)*7
+ INT((COLUMN()-COLUMN($B451))/3)
"),46286)</f>
        <v>46286</v>
      </c>
      <c r="F451" s="81"/>
      <c r="G451" s="82"/>
      <c r="H451" s="77">
        <f ca="1">IFERROR(__xludf.DUMMYFUNCTION("DATE(VALUE(LEFT($B$2,4)),VALUE(MID($B$2,6,2)),VALUE(RIGHT($B$2,2)))
+ (VALUE(REGEXEXTRACT(INDIRECT(""A""&amp;ROW()+1),""\d+""))-1)*7
+ INT((COLUMN()-COLUMN($B451))/3)
"),46287)</f>
        <v>46287</v>
      </c>
      <c r="I451" s="81"/>
      <c r="J451" s="82"/>
      <c r="K451" s="77">
        <f ca="1">IFERROR(__xludf.DUMMYFUNCTION("DATE(VALUE(LEFT($B$2,4)),VALUE(MID($B$2,6,2)),VALUE(RIGHT($B$2,2)))
+ (VALUE(REGEXEXTRACT(INDIRECT(""A""&amp;ROW()+1),""\d+""))-1)*7
+ INT((COLUMN()-COLUMN($B451))/3)
"),46288)</f>
        <v>46288</v>
      </c>
      <c r="L451" s="81"/>
      <c r="M451" s="82"/>
      <c r="N451" s="77">
        <f ca="1">IFERROR(__xludf.DUMMYFUNCTION("DATE(VALUE(LEFT($B$2,4)),VALUE(MID($B$2,6,2)),VALUE(RIGHT($B$2,2)))
+ (VALUE(REGEXEXTRACT(INDIRECT(""A""&amp;ROW()+1),""\d+""))-1)*7
+ INT((COLUMN()-COLUMN($B451))/3)
"),46289)</f>
        <v>46289</v>
      </c>
      <c r="O451" s="81"/>
      <c r="P451" s="82"/>
      <c r="Q451" s="77">
        <f ca="1">IFERROR(__xludf.DUMMYFUNCTION("DATE(VALUE(LEFT($B$2,4)),VALUE(MID($B$2,6,2)),VALUE(RIGHT($B$2,2)))
+ (VALUE(REGEXEXTRACT(INDIRECT(""A""&amp;ROW()+1),""\d+""))-1)*7
+ INT((COLUMN()-COLUMN($B451))/3)
"),46290)</f>
        <v>46290</v>
      </c>
      <c r="R451" s="81"/>
      <c r="S451" s="82"/>
      <c r="T451" s="77">
        <f ca="1">IFERROR(__xludf.DUMMYFUNCTION("DATE(VALUE(LEFT($B$2,4)),VALUE(MID($B$2,6,2)),VALUE(RIGHT($B$2,2)))
+ (VALUE(REGEXEXTRACT(INDIRECT(""A""&amp;ROW()+1),""\d+""))-1)*7
+ INT((COLUMN()-COLUMN($B451))/3)
"),46291)</f>
        <v>46291</v>
      </c>
      <c r="U451" s="81"/>
      <c r="V451" s="82"/>
      <c r="W451" s="52" t="s">
        <v>20</v>
      </c>
    </row>
    <row r="452" spans="1:23" ht="15.75" customHeight="1">
      <c r="A452" s="47" t="s">
        <v>167</v>
      </c>
      <c r="B452" s="113"/>
      <c r="C452" s="109"/>
      <c r="D452" s="42">
        <f>V450+C452</f>
        <v>-1459</v>
      </c>
      <c r="E452" s="112"/>
      <c r="F452" s="111"/>
      <c r="G452" s="36">
        <f>D462+F452</f>
        <v>-1459</v>
      </c>
      <c r="H452" s="132"/>
      <c r="I452" s="109"/>
      <c r="J452" s="42">
        <f>G462+I452</f>
        <v>-1459</v>
      </c>
      <c r="K452" s="112"/>
      <c r="L452" s="111"/>
      <c r="M452" s="18">
        <f>J462+L452</f>
        <v>-1459</v>
      </c>
      <c r="N452" s="113"/>
      <c r="O452" s="109"/>
      <c r="P452" s="35">
        <f>M462+O452</f>
        <v>-1459</v>
      </c>
      <c r="Q452" s="112"/>
      <c r="R452" s="111"/>
      <c r="S452" s="18">
        <f>P462+R452</f>
        <v>-1459</v>
      </c>
      <c r="T452" s="173"/>
      <c r="U452" s="173"/>
      <c r="V452" s="50">
        <f>S462+U452</f>
        <v>-1459</v>
      </c>
      <c r="W452" s="172"/>
    </row>
    <row r="453" spans="1:23" ht="15.75" customHeight="1">
      <c r="A453" s="114"/>
      <c r="B453" s="118"/>
      <c r="C453" s="117"/>
      <c r="D453" s="19">
        <f t="shared" ref="D453:D462" si="266">D452+C453</f>
        <v>-1459</v>
      </c>
      <c r="E453" s="106"/>
      <c r="F453" s="107"/>
      <c r="G453" s="26">
        <f t="shared" ref="G453:G462" si="267">G452+F453</f>
        <v>-1459</v>
      </c>
      <c r="H453" s="133"/>
      <c r="I453" s="117"/>
      <c r="J453" s="19">
        <f t="shared" ref="J453:J462" si="268">J452+I453</f>
        <v>-1459</v>
      </c>
      <c r="K453" s="106"/>
      <c r="L453" s="107"/>
      <c r="M453" s="26">
        <f t="shared" ref="M453:M462" si="269">M452+L453</f>
        <v>-1459</v>
      </c>
      <c r="N453" s="118"/>
      <c r="O453" s="117"/>
      <c r="P453" s="38">
        <f t="shared" ref="P453:P462" si="270">P452+O453</f>
        <v>-1459</v>
      </c>
      <c r="Q453" s="106"/>
      <c r="R453" s="107"/>
      <c r="S453" s="26">
        <f t="shared" ref="S453:S462" si="271">S452+R453</f>
        <v>-1459</v>
      </c>
      <c r="T453" s="136"/>
      <c r="U453" s="136"/>
      <c r="V453" s="45">
        <f t="shared" ref="V453:V462" si="272">V452+U453</f>
        <v>-1459</v>
      </c>
      <c r="W453" s="143"/>
    </row>
    <row r="454" spans="1:23" ht="15.75" customHeight="1">
      <c r="A454" s="114"/>
      <c r="B454" s="118"/>
      <c r="C454" s="117"/>
      <c r="D454" s="19">
        <f t="shared" si="266"/>
        <v>-1459</v>
      </c>
      <c r="E454" s="106"/>
      <c r="F454" s="107"/>
      <c r="G454" s="26">
        <f t="shared" si="267"/>
        <v>-1459</v>
      </c>
      <c r="H454" s="133"/>
      <c r="I454" s="117"/>
      <c r="J454" s="19">
        <f t="shared" si="268"/>
        <v>-1459</v>
      </c>
      <c r="K454" s="106"/>
      <c r="L454" s="107"/>
      <c r="M454" s="26">
        <f t="shared" si="269"/>
        <v>-1459</v>
      </c>
      <c r="N454" s="117"/>
      <c r="O454" s="117"/>
      <c r="P454" s="38">
        <f t="shared" si="270"/>
        <v>-1459</v>
      </c>
      <c r="Q454" s="106"/>
      <c r="R454" s="107"/>
      <c r="S454" s="26">
        <f t="shared" si="271"/>
        <v>-1459</v>
      </c>
      <c r="T454" s="136"/>
      <c r="U454" s="136"/>
      <c r="V454" s="45">
        <f t="shared" si="272"/>
        <v>-1459</v>
      </c>
      <c r="W454" s="143"/>
    </row>
    <row r="455" spans="1:23" ht="15.75" customHeight="1">
      <c r="A455" s="114"/>
      <c r="B455" s="118"/>
      <c r="C455" s="117"/>
      <c r="D455" s="19">
        <f t="shared" si="266"/>
        <v>-1459</v>
      </c>
      <c r="E455" s="106"/>
      <c r="F455" s="107"/>
      <c r="G455" s="26">
        <f t="shared" si="267"/>
        <v>-1459</v>
      </c>
      <c r="H455" s="133"/>
      <c r="I455" s="117"/>
      <c r="J455" s="19">
        <f t="shared" si="268"/>
        <v>-1459</v>
      </c>
      <c r="K455" s="106"/>
      <c r="L455" s="107"/>
      <c r="M455" s="26">
        <f t="shared" si="269"/>
        <v>-1459</v>
      </c>
      <c r="N455" s="117"/>
      <c r="O455" s="117"/>
      <c r="P455" s="38">
        <f t="shared" si="270"/>
        <v>-1459</v>
      </c>
      <c r="Q455" s="106"/>
      <c r="R455" s="107"/>
      <c r="S455" s="26">
        <f t="shared" si="271"/>
        <v>-1459</v>
      </c>
      <c r="T455" s="136"/>
      <c r="U455" s="136"/>
      <c r="V455" s="45">
        <f t="shared" si="272"/>
        <v>-1459</v>
      </c>
      <c r="W455" s="143"/>
    </row>
    <row r="456" spans="1:23" ht="15.75" customHeight="1">
      <c r="A456" s="114"/>
      <c r="B456" s="118"/>
      <c r="C456" s="117"/>
      <c r="D456" s="19">
        <f t="shared" si="266"/>
        <v>-1459</v>
      </c>
      <c r="E456" s="106"/>
      <c r="F456" s="107"/>
      <c r="G456" s="26">
        <f t="shared" si="267"/>
        <v>-1459</v>
      </c>
      <c r="H456" s="133"/>
      <c r="I456" s="117"/>
      <c r="J456" s="19">
        <f t="shared" si="268"/>
        <v>-1459</v>
      </c>
      <c r="K456" s="106"/>
      <c r="L456" s="107"/>
      <c r="M456" s="26">
        <f t="shared" si="269"/>
        <v>-1459</v>
      </c>
      <c r="N456" s="117"/>
      <c r="O456" s="117"/>
      <c r="P456" s="38">
        <f t="shared" si="270"/>
        <v>-1459</v>
      </c>
      <c r="Q456" s="106"/>
      <c r="R456" s="107"/>
      <c r="S456" s="26">
        <f t="shared" si="271"/>
        <v>-1459</v>
      </c>
      <c r="T456" s="136"/>
      <c r="U456" s="136"/>
      <c r="V456" s="45">
        <f t="shared" si="272"/>
        <v>-1459</v>
      </c>
      <c r="W456" s="143"/>
    </row>
    <row r="457" spans="1:23" ht="15.75" customHeight="1">
      <c r="A457" s="114"/>
      <c r="B457" s="118"/>
      <c r="C457" s="117"/>
      <c r="D457" s="19">
        <f t="shared" si="266"/>
        <v>-1459</v>
      </c>
      <c r="E457" s="106"/>
      <c r="F457" s="107"/>
      <c r="G457" s="26">
        <f t="shared" si="267"/>
        <v>-1459</v>
      </c>
      <c r="H457" s="133"/>
      <c r="I457" s="117"/>
      <c r="J457" s="19">
        <f t="shared" si="268"/>
        <v>-1459</v>
      </c>
      <c r="K457" s="106"/>
      <c r="L457" s="107"/>
      <c r="M457" s="26">
        <f t="shared" si="269"/>
        <v>-1459</v>
      </c>
      <c r="N457" s="117"/>
      <c r="O457" s="117"/>
      <c r="P457" s="38">
        <f t="shared" si="270"/>
        <v>-1459</v>
      </c>
      <c r="Q457" s="106"/>
      <c r="R457" s="107"/>
      <c r="S457" s="26">
        <f t="shared" si="271"/>
        <v>-1459</v>
      </c>
      <c r="T457" s="136"/>
      <c r="U457" s="136"/>
      <c r="V457" s="45">
        <f t="shared" si="272"/>
        <v>-1459</v>
      </c>
      <c r="W457" s="143"/>
    </row>
    <row r="458" spans="1:23" ht="15.75" customHeight="1">
      <c r="A458" s="114"/>
      <c r="B458" s="117"/>
      <c r="C458" s="117"/>
      <c r="D458" s="19">
        <f t="shared" si="266"/>
        <v>-1459</v>
      </c>
      <c r="E458" s="106"/>
      <c r="F458" s="107"/>
      <c r="G458" s="26">
        <f t="shared" si="267"/>
        <v>-1459</v>
      </c>
      <c r="H458" s="133"/>
      <c r="I458" s="117"/>
      <c r="J458" s="19">
        <f t="shared" si="268"/>
        <v>-1459</v>
      </c>
      <c r="K458" s="106"/>
      <c r="L458" s="107"/>
      <c r="M458" s="26">
        <f t="shared" si="269"/>
        <v>-1459</v>
      </c>
      <c r="N458" s="117"/>
      <c r="O458" s="117"/>
      <c r="P458" s="38">
        <f t="shared" si="270"/>
        <v>-1459</v>
      </c>
      <c r="Q458" s="106"/>
      <c r="R458" s="107"/>
      <c r="S458" s="26">
        <f t="shared" si="271"/>
        <v>-1459</v>
      </c>
      <c r="T458" s="136"/>
      <c r="U458" s="136"/>
      <c r="V458" s="45">
        <f t="shared" si="272"/>
        <v>-1459</v>
      </c>
      <c r="W458" s="143"/>
    </row>
    <row r="459" spans="1:23" ht="15.75" customHeight="1">
      <c r="A459" s="114"/>
      <c r="B459" s="117"/>
      <c r="C459" s="117"/>
      <c r="D459" s="19">
        <f t="shared" si="266"/>
        <v>-1459</v>
      </c>
      <c r="E459" s="106"/>
      <c r="F459" s="107"/>
      <c r="G459" s="26">
        <f t="shared" si="267"/>
        <v>-1459</v>
      </c>
      <c r="H459" s="133"/>
      <c r="I459" s="117"/>
      <c r="J459" s="19">
        <f t="shared" si="268"/>
        <v>-1459</v>
      </c>
      <c r="K459" s="106"/>
      <c r="L459" s="107"/>
      <c r="M459" s="26">
        <f t="shared" si="269"/>
        <v>-1459</v>
      </c>
      <c r="N459" s="117"/>
      <c r="O459" s="117"/>
      <c r="P459" s="38">
        <f t="shared" si="270"/>
        <v>-1459</v>
      </c>
      <c r="Q459" s="106"/>
      <c r="R459" s="107"/>
      <c r="S459" s="26">
        <f t="shared" si="271"/>
        <v>-1459</v>
      </c>
      <c r="T459" s="136"/>
      <c r="U459" s="136"/>
      <c r="V459" s="45">
        <f t="shared" si="272"/>
        <v>-1459</v>
      </c>
      <c r="W459" s="143"/>
    </row>
    <row r="460" spans="1:23" ht="15.75" customHeight="1">
      <c r="A460" s="114"/>
      <c r="B460" s="117"/>
      <c r="C460" s="117"/>
      <c r="D460" s="19">
        <f t="shared" si="266"/>
        <v>-1459</v>
      </c>
      <c r="E460" s="106"/>
      <c r="F460" s="107"/>
      <c r="G460" s="26">
        <f t="shared" si="267"/>
        <v>-1459</v>
      </c>
      <c r="H460" s="133"/>
      <c r="I460" s="117"/>
      <c r="J460" s="19">
        <f t="shared" si="268"/>
        <v>-1459</v>
      </c>
      <c r="K460" s="106"/>
      <c r="L460" s="107"/>
      <c r="M460" s="26">
        <f t="shared" si="269"/>
        <v>-1459</v>
      </c>
      <c r="N460" s="117"/>
      <c r="O460" s="117"/>
      <c r="P460" s="38">
        <f t="shared" si="270"/>
        <v>-1459</v>
      </c>
      <c r="Q460" s="106"/>
      <c r="R460" s="107"/>
      <c r="S460" s="26">
        <f t="shared" si="271"/>
        <v>-1459</v>
      </c>
      <c r="T460" s="136"/>
      <c r="U460" s="136"/>
      <c r="V460" s="45">
        <f t="shared" si="272"/>
        <v>-1459</v>
      </c>
      <c r="W460" s="143"/>
    </row>
    <row r="461" spans="1:23" ht="15.75" customHeight="1">
      <c r="A461" s="114"/>
      <c r="B461" s="117"/>
      <c r="C461" s="117"/>
      <c r="D461" s="19">
        <f t="shared" si="266"/>
        <v>-1459</v>
      </c>
      <c r="E461" s="122"/>
      <c r="F461" s="123"/>
      <c r="G461" s="26">
        <f t="shared" si="267"/>
        <v>-1459</v>
      </c>
      <c r="H461" s="133"/>
      <c r="I461" s="117"/>
      <c r="J461" s="19">
        <f t="shared" si="268"/>
        <v>-1459</v>
      </c>
      <c r="K461" s="122"/>
      <c r="L461" s="123"/>
      <c r="M461" s="26">
        <f t="shared" si="269"/>
        <v>-1459</v>
      </c>
      <c r="N461" s="117"/>
      <c r="O461" s="117"/>
      <c r="P461" s="38">
        <f t="shared" si="270"/>
        <v>-1459</v>
      </c>
      <c r="Q461" s="122"/>
      <c r="R461" s="123"/>
      <c r="S461" s="26">
        <f t="shared" si="271"/>
        <v>-1459</v>
      </c>
      <c r="T461" s="136"/>
      <c r="U461" s="136"/>
      <c r="V461" s="45">
        <f t="shared" si="272"/>
        <v>-1459</v>
      </c>
      <c r="W461" s="143"/>
    </row>
    <row r="462" spans="1:23" ht="15.75" customHeight="1">
      <c r="A462" s="114"/>
      <c r="B462" s="128"/>
      <c r="C462" s="128"/>
      <c r="D462" s="29">
        <f t="shared" si="266"/>
        <v>-1459</v>
      </c>
      <c r="E462" s="122"/>
      <c r="F462" s="123"/>
      <c r="G462" s="53">
        <f t="shared" si="267"/>
        <v>-1459</v>
      </c>
      <c r="H462" s="140"/>
      <c r="I462" s="128"/>
      <c r="J462" s="29">
        <f t="shared" si="268"/>
        <v>-1459</v>
      </c>
      <c r="K462" s="122"/>
      <c r="L462" s="123"/>
      <c r="M462" s="39">
        <f t="shared" si="269"/>
        <v>-1459</v>
      </c>
      <c r="N462" s="128"/>
      <c r="O462" s="128"/>
      <c r="P462" s="40">
        <f t="shared" si="270"/>
        <v>-1459</v>
      </c>
      <c r="Q462" s="122"/>
      <c r="R462" s="123"/>
      <c r="S462" s="39">
        <f t="shared" si="271"/>
        <v>-1459</v>
      </c>
      <c r="T462" s="141"/>
      <c r="U462" s="141"/>
      <c r="V462" s="46">
        <f t="shared" si="272"/>
        <v>-1459</v>
      </c>
      <c r="W462" s="143"/>
    </row>
    <row r="463" spans="1:23" ht="15.75" customHeight="1">
      <c r="A463" s="87"/>
      <c r="B463" s="77">
        <f ca="1">IFERROR(__xludf.DUMMYFUNCTION("DATE(VALUE(LEFT($B$2,4)),VALUE(MID($B$2,6,2)),VALUE(RIGHT($B$2,2)))
+ (VALUE(REGEXEXTRACT(INDIRECT(""A""&amp;ROW()+1),""\d+""))-1)*7
+ INT((COLUMN()-COLUMN($B463))/3)
"),46292)</f>
        <v>46292</v>
      </c>
      <c r="C463" s="81"/>
      <c r="D463" s="82"/>
      <c r="E463" s="77">
        <f ca="1">IFERROR(__xludf.DUMMYFUNCTION("DATE(VALUE(LEFT($B$2,4)),VALUE(MID($B$2,6,2)),VALUE(RIGHT($B$2,2)))
+ (VALUE(REGEXEXTRACT(INDIRECT(""A""&amp;ROW()+1),""\d+""))-1)*7
+ INT((COLUMN()-COLUMN($B463))/3)
"),46293)</f>
        <v>46293</v>
      </c>
      <c r="F463" s="81"/>
      <c r="G463" s="82"/>
      <c r="H463" s="77">
        <f ca="1">IFERROR(__xludf.DUMMYFUNCTION("DATE(VALUE(LEFT($B$2,4)),VALUE(MID($B$2,6,2)),VALUE(RIGHT($B$2,2)))
+ (VALUE(REGEXEXTRACT(INDIRECT(""A""&amp;ROW()+1),""\d+""))-1)*7
+ INT((COLUMN()-COLUMN($B463))/3)
"),46294)</f>
        <v>46294</v>
      </c>
      <c r="I463" s="81"/>
      <c r="J463" s="82"/>
      <c r="K463" s="77">
        <f ca="1">IFERROR(__xludf.DUMMYFUNCTION("DATE(VALUE(LEFT($B$2,4)),VALUE(MID($B$2,6,2)),VALUE(RIGHT($B$2,2)))
+ (VALUE(REGEXEXTRACT(INDIRECT(""A""&amp;ROW()+1),""\d+""))-1)*7
+ INT((COLUMN()-COLUMN($B463))/3)
"),46295)</f>
        <v>46295</v>
      </c>
      <c r="L463" s="81"/>
      <c r="M463" s="82"/>
      <c r="N463" s="77">
        <f ca="1">IFERROR(__xludf.DUMMYFUNCTION("DATE(VALUE(LEFT($B$2,4)),VALUE(MID($B$2,6,2)),VALUE(RIGHT($B$2,2)))
+ (VALUE(REGEXEXTRACT(INDIRECT(""A""&amp;ROW()+1),""\d+""))-1)*7
+ INT((COLUMN()-COLUMN($B463))/3)
"),46296)</f>
        <v>46296</v>
      </c>
      <c r="O463" s="81"/>
      <c r="P463" s="82"/>
      <c r="Q463" s="77">
        <f ca="1">IFERROR(__xludf.DUMMYFUNCTION("DATE(VALUE(LEFT($B$2,4)),VALUE(MID($B$2,6,2)),VALUE(RIGHT($B$2,2)))
+ (VALUE(REGEXEXTRACT(INDIRECT(""A""&amp;ROW()+1),""\d+""))-1)*7
+ INT((COLUMN()-COLUMN($B463))/3)
"),46297)</f>
        <v>46297</v>
      </c>
      <c r="R463" s="81"/>
      <c r="S463" s="82"/>
      <c r="T463" s="77">
        <f ca="1">IFERROR(__xludf.DUMMYFUNCTION("DATE(VALUE(LEFT($B$2,4)),VALUE(MID($B$2,6,2)),VALUE(RIGHT($B$2,2)))
+ (VALUE(REGEXEXTRACT(INDIRECT(""A""&amp;ROW()+1),""\d+""))-1)*7
+ INT((COLUMN()-COLUMN($B463))/3)
"),46298)</f>
        <v>46298</v>
      </c>
      <c r="U463" s="81"/>
      <c r="V463" s="82"/>
      <c r="W463" s="143"/>
    </row>
    <row r="464" spans="1:23" ht="15.75" customHeight="1">
      <c r="A464" s="51" t="s">
        <v>168</v>
      </c>
      <c r="B464" s="112"/>
      <c r="C464" s="111"/>
      <c r="D464" s="17">
        <f>V462+C464</f>
        <v>-1459</v>
      </c>
      <c r="E464" s="109"/>
      <c r="F464" s="109"/>
      <c r="G464" s="54">
        <f>D474+F464</f>
        <v>-1459</v>
      </c>
      <c r="H464" s="110"/>
      <c r="I464" s="111"/>
      <c r="J464" s="17">
        <f>G474+I464</f>
        <v>-1459</v>
      </c>
      <c r="K464" s="109"/>
      <c r="L464" s="109"/>
      <c r="M464" s="54">
        <f>J474+L464</f>
        <v>-1459</v>
      </c>
      <c r="N464" s="112"/>
      <c r="O464" s="111"/>
      <c r="P464" s="17">
        <f>M474+O464</f>
        <v>-1459</v>
      </c>
      <c r="Q464" s="109"/>
      <c r="R464" s="109"/>
      <c r="S464" s="35">
        <f>P474+R464</f>
        <v>-1459</v>
      </c>
      <c r="T464" s="112"/>
      <c r="U464" s="111"/>
      <c r="V464" s="48">
        <f>S474+U464</f>
        <v>-1459</v>
      </c>
      <c r="W464" s="143"/>
    </row>
    <row r="465" spans="1:23" ht="15.75" customHeight="1">
      <c r="A465" s="114"/>
      <c r="B465" s="106"/>
      <c r="C465" s="107"/>
      <c r="D465" s="26">
        <f t="shared" ref="D465:D474" si="273">D464+C465</f>
        <v>-1459</v>
      </c>
      <c r="E465" s="117"/>
      <c r="F465" s="117"/>
      <c r="G465" s="19">
        <f t="shared" ref="G465:G474" si="274">G464+F465</f>
        <v>-1459</v>
      </c>
      <c r="H465" s="116"/>
      <c r="I465" s="107"/>
      <c r="J465" s="26">
        <f t="shared" ref="J465:J474" si="275">J464+I465</f>
        <v>-1459</v>
      </c>
      <c r="K465" s="117"/>
      <c r="L465" s="117"/>
      <c r="M465" s="19">
        <f t="shared" ref="M465:M474" si="276">M464+L465</f>
        <v>-1459</v>
      </c>
      <c r="N465" s="106"/>
      <c r="O465" s="107"/>
      <c r="P465" s="26">
        <f t="shared" ref="P465:P474" si="277">P464+O465</f>
        <v>-1459</v>
      </c>
      <c r="Q465" s="117"/>
      <c r="R465" s="117"/>
      <c r="S465" s="38">
        <f t="shared" ref="S465:S474" si="278">S464+R465</f>
        <v>-1459</v>
      </c>
      <c r="T465" s="106"/>
      <c r="U465" s="107"/>
      <c r="V465" s="20">
        <f t="shared" ref="V465:V474" si="279">V464+U465</f>
        <v>-1459</v>
      </c>
      <c r="W465" s="143"/>
    </row>
    <row r="466" spans="1:23" ht="15.75" customHeight="1">
      <c r="A466" s="114"/>
      <c r="B466" s="106"/>
      <c r="C466" s="107"/>
      <c r="D466" s="26">
        <f t="shared" si="273"/>
        <v>-1459</v>
      </c>
      <c r="E466" s="117"/>
      <c r="F466" s="117"/>
      <c r="G466" s="19">
        <f t="shared" si="274"/>
        <v>-1459</v>
      </c>
      <c r="H466" s="116"/>
      <c r="I466" s="107"/>
      <c r="J466" s="26">
        <f t="shared" si="275"/>
        <v>-1459</v>
      </c>
      <c r="K466" s="117"/>
      <c r="L466" s="117"/>
      <c r="M466" s="19">
        <f t="shared" si="276"/>
        <v>-1459</v>
      </c>
      <c r="N466" s="106"/>
      <c r="O466" s="107"/>
      <c r="P466" s="26">
        <f t="shared" si="277"/>
        <v>-1459</v>
      </c>
      <c r="Q466" s="117"/>
      <c r="R466" s="117"/>
      <c r="S466" s="38">
        <f t="shared" si="278"/>
        <v>-1459</v>
      </c>
      <c r="T466" s="106"/>
      <c r="U466" s="116"/>
      <c r="V466" s="20">
        <f t="shared" si="279"/>
        <v>-1459</v>
      </c>
      <c r="W466" s="143"/>
    </row>
    <row r="467" spans="1:23" ht="15.75" customHeight="1">
      <c r="A467" s="114"/>
      <c r="B467" s="106"/>
      <c r="C467" s="107"/>
      <c r="D467" s="26">
        <f t="shared" si="273"/>
        <v>-1459</v>
      </c>
      <c r="E467" s="117"/>
      <c r="F467" s="117"/>
      <c r="G467" s="19">
        <f t="shared" si="274"/>
        <v>-1459</v>
      </c>
      <c r="H467" s="116"/>
      <c r="I467" s="107"/>
      <c r="J467" s="26">
        <f t="shared" si="275"/>
        <v>-1459</v>
      </c>
      <c r="K467" s="117"/>
      <c r="L467" s="117"/>
      <c r="M467" s="19">
        <f t="shared" si="276"/>
        <v>-1459</v>
      </c>
      <c r="N467" s="106"/>
      <c r="O467" s="107"/>
      <c r="P467" s="26">
        <f t="shared" si="277"/>
        <v>-1459</v>
      </c>
      <c r="Q467" s="117"/>
      <c r="R467" s="117"/>
      <c r="S467" s="38">
        <f t="shared" si="278"/>
        <v>-1459</v>
      </c>
      <c r="T467" s="106"/>
      <c r="U467" s="116"/>
      <c r="V467" s="20">
        <f t="shared" si="279"/>
        <v>-1459</v>
      </c>
      <c r="W467" s="143"/>
    </row>
    <row r="468" spans="1:23" ht="15.75" customHeight="1">
      <c r="A468" s="114"/>
      <c r="B468" s="106"/>
      <c r="C468" s="107"/>
      <c r="D468" s="26">
        <f t="shared" si="273"/>
        <v>-1459</v>
      </c>
      <c r="E468" s="117"/>
      <c r="F468" s="117"/>
      <c r="G468" s="19">
        <f t="shared" si="274"/>
        <v>-1459</v>
      </c>
      <c r="H468" s="116"/>
      <c r="I468" s="107"/>
      <c r="J468" s="26">
        <f t="shared" si="275"/>
        <v>-1459</v>
      </c>
      <c r="K468" s="117"/>
      <c r="L468" s="117"/>
      <c r="M468" s="19">
        <f t="shared" si="276"/>
        <v>-1459</v>
      </c>
      <c r="N468" s="116"/>
      <c r="O468" s="107"/>
      <c r="P468" s="26">
        <f t="shared" si="277"/>
        <v>-1459</v>
      </c>
      <c r="Q468" s="117"/>
      <c r="R468" s="117"/>
      <c r="S468" s="38">
        <f t="shared" si="278"/>
        <v>-1459</v>
      </c>
      <c r="T468" s="106"/>
      <c r="U468" s="116"/>
      <c r="V468" s="20">
        <f t="shared" si="279"/>
        <v>-1459</v>
      </c>
      <c r="W468" s="143"/>
    </row>
    <row r="469" spans="1:23" ht="15.75" customHeight="1">
      <c r="A469" s="114"/>
      <c r="B469" s="106"/>
      <c r="C469" s="107"/>
      <c r="D469" s="26">
        <f t="shared" si="273"/>
        <v>-1459</v>
      </c>
      <c r="E469" s="117"/>
      <c r="F469" s="117"/>
      <c r="G469" s="19">
        <f t="shared" si="274"/>
        <v>-1459</v>
      </c>
      <c r="H469" s="116"/>
      <c r="I469" s="107"/>
      <c r="J469" s="26">
        <f t="shared" si="275"/>
        <v>-1459</v>
      </c>
      <c r="K469" s="117"/>
      <c r="L469" s="117"/>
      <c r="M469" s="19">
        <f t="shared" si="276"/>
        <v>-1459</v>
      </c>
      <c r="N469" s="116"/>
      <c r="O469" s="107"/>
      <c r="P469" s="26">
        <f t="shared" si="277"/>
        <v>-1459</v>
      </c>
      <c r="Q469" s="117"/>
      <c r="R469" s="117"/>
      <c r="S469" s="38">
        <f t="shared" si="278"/>
        <v>-1459</v>
      </c>
      <c r="T469" s="106"/>
      <c r="U469" s="116"/>
      <c r="V469" s="20">
        <f t="shared" si="279"/>
        <v>-1459</v>
      </c>
      <c r="W469" s="143"/>
    </row>
    <row r="470" spans="1:23" ht="15.75" customHeight="1">
      <c r="A470" s="114"/>
      <c r="B470" s="122"/>
      <c r="C470" s="123"/>
      <c r="D470" s="26">
        <f t="shared" si="273"/>
        <v>-1459</v>
      </c>
      <c r="E470" s="117"/>
      <c r="F470" s="117"/>
      <c r="G470" s="19">
        <f t="shared" si="274"/>
        <v>-1459</v>
      </c>
      <c r="H470" s="116"/>
      <c r="I470" s="107"/>
      <c r="J470" s="26">
        <f t="shared" si="275"/>
        <v>-1459</v>
      </c>
      <c r="K470" s="117"/>
      <c r="L470" s="117"/>
      <c r="M470" s="38">
        <f t="shared" si="276"/>
        <v>-1459</v>
      </c>
      <c r="N470" s="106"/>
      <c r="O470" s="107"/>
      <c r="P470" s="26">
        <f t="shared" si="277"/>
        <v>-1459</v>
      </c>
      <c r="Q470" s="117"/>
      <c r="R470" s="117"/>
      <c r="S470" s="38">
        <f t="shared" si="278"/>
        <v>-1459</v>
      </c>
      <c r="T470" s="106"/>
      <c r="U470" s="116"/>
      <c r="V470" s="20">
        <f t="shared" si="279"/>
        <v>-1459</v>
      </c>
      <c r="W470" s="143"/>
    </row>
    <row r="471" spans="1:23" ht="15.75" customHeight="1">
      <c r="A471" s="114"/>
      <c r="B471" s="122"/>
      <c r="C471" s="123"/>
      <c r="D471" s="26">
        <f t="shared" si="273"/>
        <v>-1459</v>
      </c>
      <c r="E471" s="117"/>
      <c r="F471" s="117"/>
      <c r="G471" s="19">
        <f t="shared" si="274"/>
        <v>-1459</v>
      </c>
      <c r="H471" s="116"/>
      <c r="I471" s="107"/>
      <c r="J471" s="26">
        <f t="shared" si="275"/>
        <v>-1459</v>
      </c>
      <c r="K471" s="117"/>
      <c r="L471" s="117"/>
      <c r="M471" s="38">
        <f t="shared" si="276"/>
        <v>-1459</v>
      </c>
      <c r="N471" s="106"/>
      <c r="O471" s="107"/>
      <c r="P471" s="26">
        <f t="shared" si="277"/>
        <v>-1459</v>
      </c>
      <c r="Q471" s="117"/>
      <c r="R471" s="117"/>
      <c r="S471" s="38">
        <f t="shared" si="278"/>
        <v>-1459</v>
      </c>
      <c r="T471" s="106"/>
      <c r="U471" s="116"/>
      <c r="V471" s="20">
        <f t="shared" si="279"/>
        <v>-1459</v>
      </c>
      <c r="W471" s="143"/>
    </row>
    <row r="472" spans="1:23" ht="15.75" customHeight="1">
      <c r="A472" s="114"/>
      <c r="B472" s="122"/>
      <c r="C472" s="123"/>
      <c r="D472" s="26">
        <f t="shared" si="273"/>
        <v>-1459</v>
      </c>
      <c r="E472" s="117"/>
      <c r="F472" s="117"/>
      <c r="G472" s="19">
        <f t="shared" si="274"/>
        <v>-1459</v>
      </c>
      <c r="H472" s="124"/>
      <c r="I472" s="123"/>
      <c r="J472" s="26">
        <f t="shared" si="275"/>
        <v>-1459</v>
      </c>
      <c r="K472" s="117"/>
      <c r="L472" s="117"/>
      <c r="M472" s="38">
        <f t="shared" si="276"/>
        <v>-1459</v>
      </c>
      <c r="N472" s="122"/>
      <c r="O472" s="123"/>
      <c r="P472" s="26">
        <f t="shared" si="277"/>
        <v>-1459</v>
      </c>
      <c r="Q472" s="117"/>
      <c r="R472" s="117"/>
      <c r="S472" s="38">
        <f t="shared" si="278"/>
        <v>-1459</v>
      </c>
      <c r="T472" s="106"/>
      <c r="U472" s="116"/>
      <c r="V472" s="20">
        <f t="shared" si="279"/>
        <v>-1459</v>
      </c>
      <c r="W472" s="143"/>
    </row>
    <row r="473" spans="1:23" ht="15.75" customHeight="1">
      <c r="A473" s="114"/>
      <c r="B473" s="122"/>
      <c r="C473" s="123"/>
      <c r="D473" s="26">
        <f t="shared" si="273"/>
        <v>-1459</v>
      </c>
      <c r="E473" s="117"/>
      <c r="F473" s="117"/>
      <c r="G473" s="19">
        <f t="shared" si="274"/>
        <v>-1459</v>
      </c>
      <c r="H473" s="124"/>
      <c r="I473" s="123"/>
      <c r="J473" s="26">
        <f t="shared" si="275"/>
        <v>-1459</v>
      </c>
      <c r="K473" s="117"/>
      <c r="L473" s="117"/>
      <c r="M473" s="38">
        <f t="shared" si="276"/>
        <v>-1459</v>
      </c>
      <c r="N473" s="122"/>
      <c r="O473" s="123"/>
      <c r="P473" s="26">
        <f t="shared" si="277"/>
        <v>-1459</v>
      </c>
      <c r="Q473" s="117"/>
      <c r="R473" s="117"/>
      <c r="S473" s="38">
        <f t="shared" si="278"/>
        <v>-1459</v>
      </c>
      <c r="T473" s="122"/>
      <c r="U473" s="124"/>
      <c r="V473" s="20">
        <f t="shared" si="279"/>
        <v>-1459</v>
      </c>
      <c r="W473" s="143"/>
    </row>
    <row r="474" spans="1:23" ht="15.75" customHeight="1">
      <c r="A474" s="114"/>
      <c r="B474" s="122"/>
      <c r="C474" s="123"/>
      <c r="D474" s="39">
        <f t="shared" si="273"/>
        <v>-1459</v>
      </c>
      <c r="E474" s="128"/>
      <c r="F474" s="128"/>
      <c r="G474" s="55">
        <f t="shared" si="274"/>
        <v>-1459</v>
      </c>
      <c r="H474" s="124"/>
      <c r="I474" s="123"/>
      <c r="J474" s="39">
        <f t="shared" si="275"/>
        <v>-1459</v>
      </c>
      <c r="K474" s="128"/>
      <c r="L474" s="128"/>
      <c r="M474" s="40">
        <f t="shared" si="276"/>
        <v>-1459</v>
      </c>
      <c r="N474" s="122"/>
      <c r="O474" s="123"/>
      <c r="P474" s="39">
        <f t="shared" si="277"/>
        <v>-1459</v>
      </c>
      <c r="Q474" s="128"/>
      <c r="R474" s="128"/>
      <c r="S474" s="40">
        <f t="shared" si="278"/>
        <v>-1459</v>
      </c>
      <c r="T474" s="122"/>
      <c r="U474" s="123"/>
      <c r="V474" s="49">
        <f t="shared" si="279"/>
        <v>-1459</v>
      </c>
      <c r="W474" s="143"/>
    </row>
    <row r="475" spans="1:23" ht="15.75" customHeight="1">
      <c r="A475" s="87"/>
      <c r="B475" s="77">
        <f ca="1">IFERROR(__xludf.DUMMYFUNCTION("DATE(VALUE(LEFT($B$2,4)),VALUE(MID($B$2,6,2)),VALUE(RIGHT($B$2,2)))
+ (VALUE(REGEXEXTRACT(INDIRECT(""A""&amp;ROW()+1),""\d+""))-1)*7
+ INT((COLUMN()-COLUMN($B475))/3)
"),46299)</f>
        <v>46299</v>
      </c>
      <c r="C475" s="81"/>
      <c r="D475" s="82"/>
      <c r="E475" s="77">
        <f ca="1">IFERROR(__xludf.DUMMYFUNCTION("DATE(VALUE(LEFT($B$2,4)),VALUE(MID($B$2,6,2)),VALUE(RIGHT($B$2,2)))
+ (VALUE(REGEXEXTRACT(INDIRECT(""A""&amp;ROW()+1),""\d+""))-1)*7
+ INT((COLUMN()-COLUMN($B475))/3)
"),46300)</f>
        <v>46300</v>
      </c>
      <c r="F475" s="81"/>
      <c r="G475" s="82"/>
      <c r="H475" s="77">
        <f ca="1">IFERROR(__xludf.DUMMYFUNCTION("DATE(VALUE(LEFT($B$2,4)),VALUE(MID($B$2,6,2)),VALUE(RIGHT($B$2,2)))
+ (VALUE(REGEXEXTRACT(INDIRECT(""A""&amp;ROW()+1),""\d+""))-1)*7
+ INT((COLUMN()-COLUMN($B475))/3)
"),46301)</f>
        <v>46301</v>
      </c>
      <c r="I475" s="81"/>
      <c r="J475" s="82"/>
      <c r="K475" s="77">
        <f ca="1">IFERROR(__xludf.DUMMYFUNCTION("DATE(VALUE(LEFT($B$2,4)),VALUE(MID($B$2,6,2)),VALUE(RIGHT($B$2,2)))
+ (VALUE(REGEXEXTRACT(INDIRECT(""A""&amp;ROW()+1),""\d+""))-1)*7
+ INT((COLUMN()-COLUMN($B475))/3)
"),46302)</f>
        <v>46302</v>
      </c>
      <c r="L475" s="81"/>
      <c r="M475" s="82"/>
      <c r="N475" s="77">
        <f ca="1">IFERROR(__xludf.DUMMYFUNCTION("DATE(VALUE(LEFT($B$2,4)),VALUE(MID($B$2,6,2)),VALUE(RIGHT($B$2,2)))
+ (VALUE(REGEXEXTRACT(INDIRECT(""A""&amp;ROW()+1),""\d+""))-1)*7
+ INT((COLUMN()-COLUMN($B475))/3)
"),46303)</f>
        <v>46303</v>
      </c>
      <c r="O475" s="81"/>
      <c r="P475" s="82"/>
      <c r="Q475" s="77">
        <f ca="1">IFERROR(__xludf.DUMMYFUNCTION("DATE(VALUE(LEFT($B$2,4)),VALUE(MID($B$2,6,2)),VALUE(RIGHT($B$2,2)))
+ (VALUE(REGEXEXTRACT(INDIRECT(""A""&amp;ROW()+1),""\d+""))-1)*7
+ INT((COLUMN()-COLUMN($B475))/3)
"),46304)</f>
        <v>46304</v>
      </c>
      <c r="R475" s="81"/>
      <c r="S475" s="82"/>
      <c r="T475" s="77">
        <f ca="1">IFERROR(__xludf.DUMMYFUNCTION("DATE(VALUE(LEFT($B$2,4)),VALUE(MID($B$2,6,2)),VALUE(RIGHT($B$2,2)))
+ (VALUE(REGEXEXTRACT(INDIRECT(""A""&amp;ROW()+1),""\d+""))-1)*7
+ INT((COLUMN()-COLUMN($B475))/3)
"),46305)</f>
        <v>46305</v>
      </c>
      <c r="U475" s="81"/>
      <c r="V475" s="82"/>
      <c r="W475" s="52" t="s">
        <v>20</v>
      </c>
    </row>
    <row r="476" spans="1:23" ht="15.75" customHeight="1">
      <c r="A476" s="47" t="s">
        <v>169</v>
      </c>
      <c r="B476" s="113"/>
      <c r="C476" s="109"/>
      <c r="D476" s="42">
        <f>V474+C476</f>
        <v>-1459</v>
      </c>
      <c r="E476" s="112"/>
      <c r="F476" s="111"/>
      <c r="G476" s="36">
        <f>D486+F476</f>
        <v>-1459</v>
      </c>
      <c r="H476" s="132"/>
      <c r="I476" s="109"/>
      <c r="J476" s="42">
        <f>G486+I476</f>
        <v>-1459</v>
      </c>
      <c r="K476" s="112"/>
      <c r="L476" s="111"/>
      <c r="M476" s="18">
        <f>J486+L476</f>
        <v>-1459</v>
      </c>
      <c r="N476" s="113"/>
      <c r="O476" s="109"/>
      <c r="P476" s="35">
        <f>M486+O476</f>
        <v>-1459</v>
      </c>
      <c r="Q476" s="112"/>
      <c r="R476" s="111"/>
      <c r="S476" s="18">
        <f>P486+R476</f>
        <v>-1459</v>
      </c>
      <c r="T476" s="173"/>
      <c r="U476" s="173"/>
      <c r="V476" s="50">
        <f>S486+U476</f>
        <v>-1459</v>
      </c>
      <c r="W476" s="172"/>
    </row>
    <row r="477" spans="1:23" ht="15.75" customHeight="1">
      <c r="A477" s="114"/>
      <c r="B477" s="118"/>
      <c r="C477" s="117"/>
      <c r="D477" s="19">
        <f t="shared" ref="D477:D486" si="280">D476+C477</f>
        <v>-1459</v>
      </c>
      <c r="E477" s="106"/>
      <c r="F477" s="107"/>
      <c r="G477" s="26">
        <f t="shared" ref="G477:G486" si="281">G476+F477</f>
        <v>-1459</v>
      </c>
      <c r="H477" s="133"/>
      <c r="I477" s="117"/>
      <c r="J477" s="19">
        <f t="shared" ref="J477:J486" si="282">J476+I477</f>
        <v>-1459</v>
      </c>
      <c r="K477" s="106"/>
      <c r="L477" s="107"/>
      <c r="M477" s="26">
        <f t="shared" ref="M477:M486" si="283">M476+L477</f>
        <v>-1459</v>
      </c>
      <c r="N477" s="118"/>
      <c r="O477" s="117"/>
      <c r="P477" s="38">
        <f t="shared" ref="P477:P486" si="284">P476+O477</f>
        <v>-1459</v>
      </c>
      <c r="Q477" s="106"/>
      <c r="R477" s="107"/>
      <c r="S477" s="26">
        <f t="shared" ref="S477:S486" si="285">S476+R477</f>
        <v>-1459</v>
      </c>
      <c r="T477" s="136"/>
      <c r="U477" s="136"/>
      <c r="V477" s="45">
        <f t="shared" ref="V477:V486" si="286">V476+U477</f>
        <v>-1459</v>
      </c>
      <c r="W477" s="143"/>
    </row>
    <row r="478" spans="1:23" ht="15.75" customHeight="1">
      <c r="A478" s="114"/>
      <c r="B478" s="118"/>
      <c r="C478" s="117"/>
      <c r="D478" s="19">
        <f t="shared" si="280"/>
        <v>-1459</v>
      </c>
      <c r="E478" s="106"/>
      <c r="F478" s="107"/>
      <c r="G478" s="26">
        <f t="shared" si="281"/>
        <v>-1459</v>
      </c>
      <c r="H478" s="133"/>
      <c r="I478" s="117"/>
      <c r="J478" s="19">
        <f t="shared" si="282"/>
        <v>-1459</v>
      </c>
      <c r="K478" s="106"/>
      <c r="L478" s="107"/>
      <c r="M478" s="26">
        <f t="shared" si="283"/>
        <v>-1459</v>
      </c>
      <c r="N478" s="117"/>
      <c r="O478" s="117"/>
      <c r="P478" s="38">
        <f t="shared" si="284"/>
        <v>-1459</v>
      </c>
      <c r="Q478" s="106"/>
      <c r="R478" s="107"/>
      <c r="S478" s="26">
        <f t="shared" si="285"/>
        <v>-1459</v>
      </c>
      <c r="T478" s="136"/>
      <c r="U478" s="136"/>
      <c r="V478" s="45">
        <f t="shared" si="286"/>
        <v>-1459</v>
      </c>
      <c r="W478" s="143"/>
    </row>
    <row r="479" spans="1:23" ht="15.75" customHeight="1">
      <c r="A479" s="114"/>
      <c r="B479" s="118"/>
      <c r="C479" s="117"/>
      <c r="D479" s="19">
        <f t="shared" si="280"/>
        <v>-1459</v>
      </c>
      <c r="E479" s="106"/>
      <c r="F479" s="107"/>
      <c r="G479" s="26">
        <f t="shared" si="281"/>
        <v>-1459</v>
      </c>
      <c r="H479" s="133"/>
      <c r="I479" s="117"/>
      <c r="J479" s="19">
        <f t="shared" si="282"/>
        <v>-1459</v>
      </c>
      <c r="K479" s="106"/>
      <c r="L479" s="107"/>
      <c r="M479" s="26">
        <f t="shared" si="283"/>
        <v>-1459</v>
      </c>
      <c r="N479" s="117"/>
      <c r="O479" s="117"/>
      <c r="P479" s="38">
        <f t="shared" si="284"/>
        <v>-1459</v>
      </c>
      <c r="Q479" s="106"/>
      <c r="R479" s="107"/>
      <c r="S479" s="26">
        <f t="shared" si="285"/>
        <v>-1459</v>
      </c>
      <c r="T479" s="136"/>
      <c r="U479" s="136"/>
      <c r="V479" s="45">
        <f t="shared" si="286"/>
        <v>-1459</v>
      </c>
      <c r="W479" s="143"/>
    </row>
    <row r="480" spans="1:23" ht="15.75" customHeight="1">
      <c r="A480" s="114"/>
      <c r="B480" s="118"/>
      <c r="C480" s="117"/>
      <c r="D480" s="19">
        <f t="shared" si="280"/>
        <v>-1459</v>
      </c>
      <c r="E480" s="106"/>
      <c r="F480" s="107"/>
      <c r="G480" s="26">
        <f t="shared" si="281"/>
        <v>-1459</v>
      </c>
      <c r="H480" s="133"/>
      <c r="I480" s="117"/>
      <c r="J480" s="19">
        <f t="shared" si="282"/>
        <v>-1459</v>
      </c>
      <c r="K480" s="106"/>
      <c r="L480" s="107"/>
      <c r="M480" s="26">
        <f t="shared" si="283"/>
        <v>-1459</v>
      </c>
      <c r="N480" s="117"/>
      <c r="O480" s="117"/>
      <c r="P480" s="38">
        <f t="shared" si="284"/>
        <v>-1459</v>
      </c>
      <c r="Q480" s="106"/>
      <c r="R480" s="107"/>
      <c r="S480" s="26">
        <f t="shared" si="285"/>
        <v>-1459</v>
      </c>
      <c r="T480" s="136"/>
      <c r="U480" s="136"/>
      <c r="V480" s="45">
        <f t="shared" si="286"/>
        <v>-1459</v>
      </c>
      <c r="W480" s="143"/>
    </row>
    <row r="481" spans="1:23" ht="15.75" customHeight="1">
      <c r="A481" s="114"/>
      <c r="B481" s="118"/>
      <c r="C481" s="117"/>
      <c r="D481" s="19">
        <f t="shared" si="280"/>
        <v>-1459</v>
      </c>
      <c r="E481" s="106"/>
      <c r="F481" s="107"/>
      <c r="G481" s="26">
        <f t="shared" si="281"/>
        <v>-1459</v>
      </c>
      <c r="H481" s="133"/>
      <c r="I481" s="117"/>
      <c r="J481" s="19">
        <f t="shared" si="282"/>
        <v>-1459</v>
      </c>
      <c r="K481" s="106"/>
      <c r="L481" s="107"/>
      <c r="M481" s="26">
        <f t="shared" si="283"/>
        <v>-1459</v>
      </c>
      <c r="N481" s="117"/>
      <c r="O481" s="117"/>
      <c r="P481" s="38">
        <f t="shared" si="284"/>
        <v>-1459</v>
      </c>
      <c r="Q481" s="106"/>
      <c r="R481" s="107"/>
      <c r="S481" s="26">
        <f t="shared" si="285"/>
        <v>-1459</v>
      </c>
      <c r="T481" s="136"/>
      <c r="U481" s="136"/>
      <c r="V481" s="45">
        <f t="shared" si="286"/>
        <v>-1459</v>
      </c>
      <c r="W481" s="143"/>
    </row>
    <row r="482" spans="1:23" ht="15.75" customHeight="1">
      <c r="A482" s="114"/>
      <c r="B482" s="117"/>
      <c r="C482" s="117"/>
      <c r="D482" s="19">
        <f t="shared" si="280"/>
        <v>-1459</v>
      </c>
      <c r="E482" s="106"/>
      <c r="F482" s="107"/>
      <c r="G482" s="26">
        <f t="shared" si="281"/>
        <v>-1459</v>
      </c>
      <c r="H482" s="133"/>
      <c r="I482" s="117"/>
      <c r="J482" s="19">
        <f t="shared" si="282"/>
        <v>-1459</v>
      </c>
      <c r="K482" s="106"/>
      <c r="L482" s="107"/>
      <c r="M482" s="26">
        <f t="shared" si="283"/>
        <v>-1459</v>
      </c>
      <c r="N482" s="117"/>
      <c r="O482" s="117"/>
      <c r="P482" s="38">
        <f t="shared" si="284"/>
        <v>-1459</v>
      </c>
      <c r="Q482" s="106"/>
      <c r="R482" s="107"/>
      <c r="S482" s="26">
        <f t="shared" si="285"/>
        <v>-1459</v>
      </c>
      <c r="T482" s="136"/>
      <c r="U482" s="136"/>
      <c r="V482" s="45">
        <f t="shared" si="286"/>
        <v>-1459</v>
      </c>
      <c r="W482" s="143"/>
    </row>
    <row r="483" spans="1:23" ht="15.75" customHeight="1">
      <c r="A483" s="114"/>
      <c r="B483" s="117"/>
      <c r="C483" s="117"/>
      <c r="D483" s="19">
        <f t="shared" si="280"/>
        <v>-1459</v>
      </c>
      <c r="E483" s="106"/>
      <c r="F483" s="107"/>
      <c r="G483" s="26">
        <f t="shared" si="281"/>
        <v>-1459</v>
      </c>
      <c r="H483" s="133"/>
      <c r="I483" s="117"/>
      <c r="J483" s="19">
        <f t="shared" si="282"/>
        <v>-1459</v>
      </c>
      <c r="K483" s="106"/>
      <c r="L483" s="107"/>
      <c r="M483" s="26">
        <f t="shared" si="283"/>
        <v>-1459</v>
      </c>
      <c r="N483" s="117"/>
      <c r="O483" s="117"/>
      <c r="P483" s="38">
        <f t="shared" si="284"/>
        <v>-1459</v>
      </c>
      <c r="Q483" s="106"/>
      <c r="R483" s="107"/>
      <c r="S483" s="26">
        <f t="shared" si="285"/>
        <v>-1459</v>
      </c>
      <c r="T483" s="136"/>
      <c r="U483" s="136"/>
      <c r="V483" s="45">
        <f t="shared" si="286"/>
        <v>-1459</v>
      </c>
      <c r="W483" s="143"/>
    </row>
    <row r="484" spans="1:23" ht="15.75" customHeight="1">
      <c r="A484" s="114"/>
      <c r="B484" s="117"/>
      <c r="C484" s="117"/>
      <c r="D484" s="19">
        <f t="shared" si="280"/>
        <v>-1459</v>
      </c>
      <c r="E484" s="106"/>
      <c r="F484" s="107"/>
      <c r="G484" s="26">
        <f t="shared" si="281"/>
        <v>-1459</v>
      </c>
      <c r="H484" s="133"/>
      <c r="I484" s="117"/>
      <c r="J484" s="19">
        <f t="shared" si="282"/>
        <v>-1459</v>
      </c>
      <c r="K484" s="106"/>
      <c r="L484" s="107"/>
      <c r="M484" s="26">
        <f t="shared" si="283"/>
        <v>-1459</v>
      </c>
      <c r="N484" s="117"/>
      <c r="O484" s="117"/>
      <c r="P484" s="38">
        <f t="shared" si="284"/>
        <v>-1459</v>
      </c>
      <c r="Q484" s="106"/>
      <c r="R484" s="107"/>
      <c r="S484" s="26">
        <f t="shared" si="285"/>
        <v>-1459</v>
      </c>
      <c r="T484" s="136"/>
      <c r="U484" s="136"/>
      <c r="V484" s="45">
        <f t="shared" si="286"/>
        <v>-1459</v>
      </c>
      <c r="W484" s="143"/>
    </row>
    <row r="485" spans="1:23" ht="15.75" customHeight="1">
      <c r="A485" s="114"/>
      <c r="B485" s="117"/>
      <c r="C485" s="117"/>
      <c r="D485" s="19">
        <f t="shared" si="280"/>
        <v>-1459</v>
      </c>
      <c r="E485" s="122"/>
      <c r="F485" s="123"/>
      <c r="G485" s="26">
        <f t="shared" si="281"/>
        <v>-1459</v>
      </c>
      <c r="H485" s="133"/>
      <c r="I485" s="117"/>
      <c r="J485" s="19">
        <f t="shared" si="282"/>
        <v>-1459</v>
      </c>
      <c r="K485" s="122"/>
      <c r="L485" s="123"/>
      <c r="M485" s="26">
        <f t="shared" si="283"/>
        <v>-1459</v>
      </c>
      <c r="N485" s="117"/>
      <c r="O485" s="117"/>
      <c r="P485" s="38">
        <f t="shared" si="284"/>
        <v>-1459</v>
      </c>
      <c r="Q485" s="122"/>
      <c r="R485" s="123"/>
      <c r="S485" s="26">
        <f t="shared" si="285"/>
        <v>-1459</v>
      </c>
      <c r="T485" s="136"/>
      <c r="U485" s="136"/>
      <c r="V485" s="45">
        <f t="shared" si="286"/>
        <v>-1459</v>
      </c>
      <c r="W485" s="143"/>
    </row>
    <row r="486" spans="1:23" ht="15.75" customHeight="1">
      <c r="A486" s="114"/>
      <c r="B486" s="128"/>
      <c r="C486" s="128"/>
      <c r="D486" s="29">
        <f t="shared" si="280"/>
        <v>-1459</v>
      </c>
      <c r="E486" s="122"/>
      <c r="F486" s="123"/>
      <c r="G486" s="53">
        <f t="shared" si="281"/>
        <v>-1459</v>
      </c>
      <c r="H486" s="140"/>
      <c r="I486" s="128"/>
      <c r="J486" s="29">
        <f t="shared" si="282"/>
        <v>-1459</v>
      </c>
      <c r="K486" s="122"/>
      <c r="L486" s="123"/>
      <c r="M486" s="39">
        <f t="shared" si="283"/>
        <v>-1459</v>
      </c>
      <c r="N486" s="128"/>
      <c r="O486" s="128"/>
      <c r="P486" s="40">
        <f t="shared" si="284"/>
        <v>-1459</v>
      </c>
      <c r="Q486" s="122"/>
      <c r="R486" s="123"/>
      <c r="S486" s="39">
        <f t="shared" si="285"/>
        <v>-1459</v>
      </c>
      <c r="T486" s="141"/>
      <c r="U486" s="141"/>
      <c r="V486" s="46">
        <f t="shared" si="286"/>
        <v>-1459</v>
      </c>
      <c r="W486" s="143"/>
    </row>
    <row r="487" spans="1:23" ht="15.75" customHeight="1">
      <c r="A487" s="87"/>
      <c r="B487" s="77">
        <f ca="1">IFERROR(__xludf.DUMMYFUNCTION("DATE(VALUE(LEFT($B$2,4)),VALUE(MID($B$2,6,2)),VALUE(RIGHT($B$2,2)))
+ (VALUE(REGEXEXTRACT(INDIRECT(""A""&amp;ROW()+1),""\d+""))-1)*7
+ INT((COLUMN()-COLUMN($B487))/3)
"),46306)</f>
        <v>46306</v>
      </c>
      <c r="C487" s="81"/>
      <c r="D487" s="82"/>
      <c r="E487" s="77">
        <f ca="1">IFERROR(__xludf.DUMMYFUNCTION("DATE(VALUE(LEFT($B$2,4)),VALUE(MID($B$2,6,2)),VALUE(RIGHT($B$2,2)))
+ (VALUE(REGEXEXTRACT(INDIRECT(""A""&amp;ROW()+1),""\d+""))-1)*7
+ INT((COLUMN()-COLUMN($B487))/3)
"),46307)</f>
        <v>46307</v>
      </c>
      <c r="F487" s="81"/>
      <c r="G487" s="82"/>
      <c r="H487" s="77">
        <f ca="1">IFERROR(__xludf.DUMMYFUNCTION("DATE(VALUE(LEFT($B$2,4)),VALUE(MID($B$2,6,2)),VALUE(RIGHT($B$2,2)))
+ (VALUE(REGEXEXTRACT(INDIRECT(""A""&amp;ROW()+1),""\d+""))-1)*7
+ INT((COLUMN()-COLUMN($B487))/3)
"),46308)</f>
        <v>46308</v>
      </c>
      <c r="I487" s="81"/>
      <c r="J487" s="82"/>
      <c r="K487" s="77">
        <f ca="1">IFERROR(__xludf.DUMMYFUNCTION("DATE(VALUE(LEFT($B$2,4)),VALUE(MID($B$2,6,2)),VALUE(RIGHT($B$2,2)))
+ (VALUE(REGEXEXTRACT(INDIRECT(""A""&amp;ROW()+1),""\d+""))-1)*7
+ INT((COLUMN()-COLUMN($B487))/3)
"),46309)</f>
        <v>46309</v>
      </c>
      <c r="L487" s="81"/>
      <c r="M487" s="82"/>
      <c r="N487" s="77">
        <f ca="1">IFERROR(__xludf.DUMMYFUNCTION("DATE(VALUE(LEFT($B$2,4)),VALUE(MID($B$2,6,2)),VALUE(RIGHT($B$2,2)))
+ (VALUE(REGEXEXTRACT(INDIRECT(""A""&amp;ROW()+1),""\d+""))-1)*7
+ INT((COLUMN()-COLUMN($B487))/3)
"),46310)</f>
        <v>46310</v>
      </c>
      <c r="O487" s="81"/>
      <c r="P487" s="82"/>
      <c r="Q487" s="77">
        <f ca="1">IFERROR(__xludf.DUMMYFUNCTION("DATE(VALUE(LEFT($B$2,4)),VALUE(MID($B$2,6,2)),VALUE(RIGHT($B$2,2)))
+ (VALUE(REGEXEXTRACT(INDIRECT(""A""&amp;ROW()+1),""\d+""))-1)*7
+ INT((COLUMN()-COLUMN($B487))/3)
"),46311)</f>
        <v>46311</v>
      </c>
      <c r="R487" s="81"/>
      <c r="S487" s="82"/>
      <c r="T487" s="77">
        <f ca="1">IFERROR(__xludf.DUMMYFUNCTION("DATE(VALUE(LEFT($B$2,4)),VALUE(MID($B$2,6,2)),VALUE(RIGHT($B$2,2)))
+ (VALUE(REGEXEXTRACT(INDIRECT(""A""&amp;ROW()+1),""\d+""))-1)*7
+ INT((COLUMN()-COLUMN($B487))/3)
"),46312)</f>
        <v>46312</v>
      </c>
      <c r="U487" s="81"/>
      <c r="V487" s="82"/>
      <c r="W487" s="143"/>
    </row>
    <row r="488" spans="1:23" ht="15.75" customHeight="1">
      <c r="A488" s="51" t="s">
        <v>170</v>
      </c>
      <c r="B488" s="112"/>
      <c r="C488" s="111"/>
      <c r="D488" s="17">
        <f>V486+C488</f>
        <v>-1459</v>
      </c>
      <c r="E488" s="109"/>
      <c r="F488" s="109"/>
      <c r="G488" s="42">
        <f>D498+F488</f>
        <v>-1459</v>
      </c>
      <c r="H488" s="112"/>
      <c r="I488" s="111"/>
      <c r="J488" s="17">
        <f>G498+I488</f>
        <v>-1459</v>
      </c>
      <c r="K488" s="109"/>
      <c r="L488" s="109"/>
      <c r="M488" s="35">
        <f>J498+L488</f>
        <v>-1459</v>
      </c>
      <c r="N488" s="112"/>
      <c r="O488" s="111"/>
      <c r="P488" s="17">
        <f>M498+O488</f>
        <v>-1459</v>
      </c>
      <c r="Q488" s="109"/>
      <c r="R488" s="109"/>
      <c r="S488" s="35">
        <f>P498+R488</f>
        <v>-1459</v>
      </c>
      <c r="T488" s="112"/>
      <c r="U488" s="111"/>
      <c r="V488" s="48">
        <f>S498+U488</f>
        <v>-1459</v>
      </c>
      <c r="W488" s="143"/>
    </row>
    <row r="489" spans="1:23" ht="15.75" customHeight="1">
      <c r="A489" s="114"/>
      <c r="B489" s="106"/>
      <c r="C489" s="107"/>
      <c r="D489" s="26">
        <f t="shared" ref="D489:D498" si="287">D488+C489</f>
        <v>-1459</v>
      </c>
      <c r="E489" s="117"/>
      <c r="F489" s="117"/>
      <c r="G489" s="19">
        <f t="shared" ref="G489:G498" si="288">G488+F489</f>
        <v>-1459</v>
      </c>
      <c r="H489" s="106"/>
      <c r="I489" s="107"/>
      <c r="J489" s="26">
        <f t="shared" ref="J489:J498" si="289">J488+I489</f>
        <v>-1459</v>
      </c>
      <c r="K489" s="117"/>
      <c r="L489" s="117"/>
      <c r="M489" s="38">
        <f t="shared" ref="M489:M498" si="290">M488+L489</f>
        <v>-1459</v>
      </c>
      <c r="N489" s="106"/>
      <c r="O489" s="107"/>
      <c r="P489" s="26">
        <f t="shared" ref="P489:P498" si="291">P488+O489</f>
        <v>-1459</v>
      </c>
      <c r="Q489" s="117"/>
      <c r="R489" s="117"/>
      <c r="S489" s="38">
        <f t="shared" ref="S489:S498" si="292">S488+R489</f>
        <v>-1459</v>
      </c>
      <c r="T489" s="106"/>
      <c r="U489" s="107"/>
      <c r="V489" s="20">
        <f t="shared" ref="V489:V498" si="293">V488+U489</f>
        <v>-1459</v>
      </c>
      <c r="W489" s="143"/>
    </row>
    <row r="490" spans="1:23" ht="15.75" customHeight="1">
      <c r="A490" s="114"/>
      <c r="B490" s="106"/>
      <c r="C490" s="107"/>
      <c r="D490" s="26">
        <f t="shared" si="287"/>
        <v>-1459</v>
      </c>
      <c r="E490" s="117"/>
      <c r="F490" s="117"/>
      <c r="G490" s="19">
        <f t="shared" si="288"/>
        <v>-1459</v>
      </c>
      <c r="H490" s="106"/>
      <c r="I490" s="107"/>
      <c r="J490" s="26">
        <f t="shared" si="289"/>
        <v>-1459</v>
      </c>
      <c r="K490" s="117"/>
      <c r="L490" s="117"/>
      <c r="M490" s="38">
        <f t="shared" si="290"/>
        <v>-1459</v>
      </c>
      <c r="N490" s="106"/>
      <c r="O490" s="107"/>
      <c r="P490" s="26">
        <f t="shared" si="291"/>
        <v>-1459</v>
      </c>
      <c r="Q490" s="117"/>
      <c r="R490" s="117"/>
      <c r="S490" s="38">
        <f t="shared" si="292"/>
        <v>-1459</v>
      </c>
      <c r="T490" s="106"/>
      <c r="U490" s="116"/>
      <c r="V490" s="20">
        <f t="shared" si="293"/>
        <v>-1459</v>
      </c>
      <c r="W490" s="143"/>
    </row>
    <row r="491" spans="1:23" ht="15.75" customHeight="1">
      <c r="A491" s="114"/>
      <c r="B491" s="106"/>
      <c r="C491" s="107"/>
      <c r="D491" s="26">
        <f t="shared" si="287"/>
        <v>-1459</v>
      </c>
      <c r="E491" s="117"/>
      <c r="F491" s="117"/>
      <c r="G491" s="19">
        <f t="shared" si="288"/>
        <v>-1459</v>
      </c>
      <c r="H491" s="106"/>
      <c r="I491" s="107"/>
      <c r="J491" s="26">
        <f t="shared" si="289"/>
        <v>-1459</v>
      </c>
      <c r="K491" s="117"/>
      <c r="L491" s="117"/>
      <c r="M491" s="38">
        <f t="shared" si="290"/>
        <v>-1459</v>
      </c>
      <c r="N491" s="106"/>
      <c r="O491" s="107"/>
      <c r="P491" s="26">
        <f t="shared" si="291"/>
        <v>-1459</v>
      </c>
      <c r="Q491" s="117"/>
      <c r="R491" s="117"/>
      <c r="S491" s="38">
        <f t="shared" si="292"/>
        <v>-1459</v>
      </c>
      <c r="T491" s="106"/>
      <c r="U491" s="116"/>
      <c r="V491" s="20">
        <f t="shared" si="293"/>
        <v>-1459</v>
      </c>
      <c r="W491" s="143"/>
    </row>
    <row r="492" spans="1:23" ht="15.75" customHeight="1">
      <c r="A492" s="114"/>
      <c r="B492" s="106"/>
      <c r="C492" s="107"/>
      <c r="D492" s="26">
        <f t="shared" si="287"/>
        <v>-1459</v>
      </c>
      <c r="E492" s="117"/>
      <c r="F492" s="117"/>
      <c r="G492" s="19">
        <f t="shared" si="288"/>
        <v>-1459</v>
      </c>
      <c r="H492" s="106"/>
      <c r="I492" s="107"/>
      <c r="J492" s="26">
        <f t="shared" si="289"/>
        <v>-1459</v>
      </c>
      <c r="K492" s="117"/>
      <c r="L492" s="117"/>
      <c r="M492" s="38">
        <f t="shared" si="290"/>
        <v>-1459</v>
      </c>
      <c r="N492" s="106"/>
      <c r="O492" s="107"/>
      <c r="P492" s="26">
        <f t="shared" si="291"/>
        <v>-1459</v>
      </c>
      <c r="Q492" s="117"/>
      <c r="R492" s="117"/>
      <c r="S492" s="38">
        <f t="shared" si="292"/>
        <v>-1459</v>
      </c>
      <c r="T492" s="106"/>
      <c r="U492" s="116"/>
      <c r="V492" s="20">
        <f t="shared" si="293"/>
        <v>-1459</v>
      </c>
      <c r="W492" s="143"/>
    </row>
    <row r="493" spans="1:23" ht="15.75" customHeight="1">
      <c r="A493" s="114"/>
      <c r="B493" s="106"/>
      <c r="C493" s="107"/>
      <c r="D493" s="26">
        <f t="shared" si="287"/>
        <v>-1459</v>
      </c>
      <c r="E493" s="117"/>
      <c r="F493" s="117"/>
      <c r="G493" s="19">
        <f t="shared" si="288"/>
        <v>-1459</v>
      </c>
      <c r="H493" s="106"/>
      <c r="I493" s="107"/>
      <c r="J493" s="26">
        <f t="shared" si="289"/>
        <v>-1459</v>
      </c>
      <c r="K493" s="117"/>
      <c r="L493" s="117"/>
      <c r="M493" s="38">
        <f t="shared" si="290"/>
        <v>-1459</v>
      </c>
      <c r="N493" s="106"/>
      <c r="O493" s="107"/>
      <c r="P493" s="26">
        <f t="shared" si="291"/>
        <v>-1459</v>
      </c>
      <c r="Q493" s="117"/>
      <c r="R493" s="117"/>
      <c r="S493" s="38">
        <f t="shared" si="292"/>
        <v>-1459</v>
      </c>
      <c r="T493" s="106"/>
      <c r="U493" s="116"/>
      <c r="V493" s="20">
        <f t="shared" si="293"/>
        <v>-1459</v>
      </c>
      <c r="W493" s="143"/>
    </row>
    <row r="494" spans="1:23" ht="15.75" customHeight="1">
      <c r="A494" s="114"/>
      <c r="B494" s="106"/>
      <c r="C494" s="107"/>
      <c r="D494" s="26">
        <f t="shared" si="287"/>
        <v>-1459</v>
      </c>
      <c r="E494" s="117"/>
      <c r="F494" s="117"/>
      <c r="G494" s="19">
        <f t="shared" si="288"/>
        <v>-1459</v>
      </c>
      <c r="H494" s="106"/>
      <c r="I494" s="107"/>
      <c r="J494" s="26">
        <f t="shared" si="289"/>
        <v>-1459</v>
      </c>
      <c r="K494" s="117"/>
      <c r="L494" s="117"/>
      <c r="M494" s="38">
        <f t="shared" si="290"/>
        <v>-1459</v>
      </c>
      <c r="N494" s="106"/>
      <c r="O494" s="107"/>
      <c r="P494" s="26">
        <f t="shared" si="291"/>
        <v>-1459</v>
      </c>
      <c r="Q494" s="117"/>
      <c r="R494" s="117"/>
      <c r="S494" s="38">
        <f t="shared" si="292"/>
        <v>-1459</v>
      </c>
      <c r="T494" s="106"/>
      <c r="U494" s="116"/>
      <c r="V494" s="20">
        <f t="shared" si="293"/>
        <v>-1459</v>
      </c>
      <c r="W494" s="143"/>
    </row>
    <row r="495" spans="1:23" ht="15.75" customHeight="1">
      <c r="A495" s="114"/>
      <c r="B495" s="106"/>
      <c r="C495" s="107"/>
      <c r="D495" s="26">
        <f t="shared" si="287"/>
        <v>-1459</v>
      </c>
      <c r="E495" s="117"/>
      <c r="F495" s="117"/>
      <c r="G495" s="19">
        <f t="shared" si="288"/>
        <v>-1459</v>
      </c>
      <c r="H495" s="106"/>
      <c r="I495" s="107"/>
      <c r="J495" s="26">
        <f t="shared" si="289"/>
        <v>-1459</v>
      </c>
      <c r="K495" s="117"/>
      <c r="L495" s="117"/>
      <c r="M495" s="38">
        <f t="shared" si="290"/>
        <v>-1459</v>
      </c>
      <c r="N495" s="106"/>
      <c r="O495" s="107"/>
      <c r="P495" s="26">
        <f t="shared" si="291"/>
        <v>-1459</v>
      </c>
      <c r="Q495" s="117"/>
      <c r="R495" s="117"/>
      <c r="S495" s="38">
        <f t="shared" si="292"/>
        <v>-1459</v>
      </c>
      <c r="T495" s="106"/>
      <c r="U495" s="116"/>
      <c r="V495" s="20">
        <f t="shared" si="293"/>
        <v>-1459</v>
      </c>
      <c r="W495" s="143"/>
    </row>
    <row r="496" spans="1:23" ht="15.75" customHeight="1">
      <c r="A496" s="114"/>
      <c r="B496" s="106"/>
      <c r="C496" s="107"/>
      <c r="D496" s="26">
        <f t="shared" si="287"/>
        <v>-1459</v>
      </c>
      <c r="E496" s="117"/>
      <c r="F496" s="117"/>
      <c r="G496" s="19">
        <f t="shared" si="288"/>
        <v>-1459</v>
      </c>
      <c r="H496" s="122"/>
      <c r="I496" s="123"/>
      <c r="J496" s="26">
        <f t="shared" si="289"/>
        <v>-1459</v>
      </c>
      <c r="K496" s="117"/>
      <c r="L496" s="117"/>
      <c r="M496" s="38">
        <f t="shared" si="290"/>
        <v>-1459</v>
      </c>
      <c r="N496" s="122"/>
      <c r="O496" s="123"/>
      <c r="P496" s="26">
        <f t="shared" si="291"/>
        <v>-1459</v>
      </c>
      <c r="Q496" s="117"/>
      <c r="R496" s="117"/>
      <c r="S496" s="38">
        <f t="shared" si="292"/>
        <v>-1459</v>
      </c>
      <c r="T496" s="106"/>
      <c r="U496" s="116"/>
      <c r="V496" s="20">
        <f t="shared" si="293"/>
        <v>-1459</v>
      </c>
      <c r="W496" s="143"/>
    </row>
    <row r="497" spans="1:23" ht="15.75" customHeight="1">
      <c r="A497" s="114"/>
      <c r="B497" s="106"/>
      <c r="C497" s="107"/>
      <c r="D497" s="26">
        <f t="shared" si="287"/>
        <v>-1459</v>
      </c>
      <c r="E497" s="117"/>
      <c r="F497" s="117"/>
      <c r="G497" s="19">
        <f t="shared" si="288"/>
        <v>-1459</v>
      </c>
      <c r="H497" s="122"/>
      <c r="I497" s="123"/>
      <c r="J497" s="26">
        <f t="shared" si="289"/>
        <v>-1459</v>
      </c>
      <c r="K497" s="117"/>
      <c r="L497" s="117"/>
      <c r="M497" s="38">
        <f t="shared" si="290"/>
        <v>-1459</v>
      </c>
      <c r="N497" s="122"/>
      <c r="O497" s="123"/>
      <c r="P497" s="26">
        <f t="shared" si="291"/>
        <v>-1459</v>
      </c>
      <c r="Q497" s="117"/>
      <c r="R497" s="117"/>
      <c r="S497" s="38">
        <f t="shared" si="292"/>
        <v>-1459</v>
      </c>
      <c r="T497" s="122"/>
      <c r="U497" s="124"/>
      <c r="V497" s="20">
        <f t="shared" si="293"/>
        <v>-1459</v>
      </c>
      <c r="W497" s="143"/>
    </row>
    <row r="498" spans="1:23" ht="15.75" customHeight="1">
      <c r="A498" s="114"/>
      <c r="B498" s="122"/>
      <c r="C498" s="123"/>
      <c r="D498" s="39">
        <f t="shared" si="287"/>
        <v>-1459</v>
      </c>
      <c r="E498" s="128"/>
      <c r="F498" s="128"/>
      <c r="G498" s="29">
        <f t="shared" si="288"/>
        <v>-1459</v>
      </c>
      <c r="H498" s="122"/>
      <c r="I498" s="123"/>
      <c r="J498" s="39">
        <f t="shared" si="289"/>
        <v>-1459</v>
      </c>
      <c r="K498" s="128"/>
      <c r="L498" s="128"/>
      <c r="M498" s="40">
        <f t="shared" si="290"/>
        <v>-1459</v>
      </c>
      <c r="N498" s="122"/>
      <c r="O498" s="123"/>
      <c r="P498" s="39">
        <f t="shared" si="291"/>
        <v>-1459</v>
      </c>
      <c r="Q498" s="128"/>
      <c r="R498" s="128"/>
      <c r="S498" s="40">
        <f t="shared" si="292"/>
        <v>-1459</v>
      </c>
      <c r="T498" s="122"/>
      <c r="U498" s="123"/>
      <c r="V498" s="49">
        <f t="shared" si="293"/>
        <v>-1459</v>
      </c>
      <c r="W498" s="143"/>
    </row>
    <row r="499" spans="1:23" ht="15.75" customHeight="1">
      <c r="A499" s="87"/>
      <c r="B499" s="77">
        <f ca="1">IFERROR(__xludf.DUMMYFUNCTION("DATE(VALUE(LEFT($B$2,4)),VALUE(MID($B$2,6,2)),VALUE(RIGHT($B$2,2)))
+ (VALUE(REGEXEXTRACT(INDIRECT(""A""&amp;ROW()+1),""\d+""))-1)*7
+ INT((COLUMN()-COLUMN($B499))/3)
"),46313)</f>
        <v>46313</v>
      </c>
      <c r="C499" s="81"/>
      <c r="D499" s="82"/>
      <c r="E499" s="77">
        <f ca="1">IFERROR(__xludf.DUMMYFUNCTION("DATE(VALUE(LEFT($B$2,4)),VALUE(MID($B$2,6,2)),VALUE(RIGHT($B$2,2)))
+ (VALUE(REGEXEXTRACT(INDIRECT(""A""&amp;ROW()+1),""\d+""))-1)*7
+ INT((COLUMN()-COLUMN($B499))/3)
"),46314)</f>
        <v>46314</v>
      </c>
      <c r="F499" s="81"/>
      <c r="G499" s="82"/>
      <c r="H499" s="77">
        <f ca="1">IFERROR(__xludf.DUMMYFUNCTION("DATE(VALUE(LEFT($B$2,4)),VALUE(MID($B$2,6,2)),VALUE(RIGHT($B$2,2)))
+ (VALUE(REGEXEXTRACT(INDIRECT(""A""&amp;ROW()+1),""\d+""))-1)*7
+ INT((COLUMN()-COLUMN($B499))/3)
"),46315)</f>
        <v>46315</v>
      </c>
      <c r="I499" s="81"/>
      <c r="J499" s="82"/>
      <c r="K499" s="77">
        <f ca="1">IFERROR(__xludf.DUMMYFUNCTION("DATE(VALUE(LEFT($B$2,4)),VALUE(MID($B$2,6,2)),VALUE(RIGHT($B$2,2)))
+ (VALUE(REGEXEXTRACT(INDIRECT(""A""&amp;ROW()+1),""\d+""))-1)*7
+ INT((COLUMN()-COLUMN($B499))/3)
"),46316)</f>
        <v>46316</v>
      </c>
      <c r="L499" s="81"/>
      <c r="M499" s="82"/>
      <c r="N499" s="77">
        <f ca="1">IFERROR(__xludf.DUMMYFUNCTION("DATE(VALUE(LEFT($B$2,4)),VALUE(MID($B$2,6,2)),VALUE(RIGHT($B$2,2)))
+ (VALUE(REGEXEXTRACT(INDIRECT(""A""&amp;ROW()+1),""\d+""))-1)*7
+ INT((COLUMN()-COLUMN($B499))/3)
"),46317)</f>
        <v>46317</v>
      </c>
      <c r="O499" s="81"/>
      <c r="P499" s="82"/>
      <c r="Q499" s="77">
        <f ca="1">IFERROR(__xludf.DUMMYFUNCTION("DATE(VALUE(LEFT($B$2,4)),VALUE(MID($B$2,6,2)),VALUE(RIGHT($B$2,2)))
+ (VALUE(REGEXEXTRACT(INDIRECT(""A""&amp;ROW()+1),""\d+""))-1)*7
+ INT((COLUMN()-COLUMN($B499))/3)
"),46318)</f>
        <v>46318</v>
      </c>
      <c r="R499" s="81"/>
      <c r="S499" s="82"/>
      <c r="T499" s="77">
        <f ca="1">IFERROR(__xludf.DUMMYFUNCTION("DATE(VALUE(LEFT($B$2,4)),VALUE(MID($B$2,6,2)),VALUE(RIGHT($B$2,2)))
+ (VALUE(REGEXEXTRACT(INDIRECT(""A""&amp;ROW()+1),""\d+""))-1)*7
+ INT((COLUMN()-COLUMN($B499))/3)
"),46319)</f>
        <v>46319</v>
      </c>
      <c r="U499" s="81"/>
      <c r="V499" s="82"/>
      <c r="W499" s="52" t="s">
        <v>20</v>
      </c>
    </row>
    <row r="500" spans="1:23" ht="15.75" customHeight="1">
      <c r="A500" s="47" t="s">
        <v>171</v>
      </c>
      <c r="B500" s="113"/>
      <c r="C500" s="109"/>
      <c r="D500" s="42">
        <f>V498+C500</f>
        <v>-1459</v>
      </c>
      <c r="E500" s="112"/>
      <c r="F500" s="111"/>
      <c r="G500" s="36">
        <f>D510+F500</f>
        <v>-1459</v>
      </c>
      <c r="H500" s="132"/>
      <c r="I500" s="109"/>
      <c r="J500" s="42">
        <f>G510+I500</f>
        <v>-1459</v>
      </c>
      <c r="K500" s="112"/>
      <c r="L500" s="111"/>
      <c r="M500" s="18">
        <f>J510+L500</f>
        <v>-1459</v>
      </c>
      <c r="N500" s="113"/>
      <c r="O500" s="109"/>
      <c r="P500" s="35">
        <f>M510+O500</f>
        <v>-1459</v>
      </c>
      <c r="Q500" s="112"/>
      <c r="R500" s="111"/>
      <c r="S500" s="18">
        <f>P510+R500</f>
        <v>-1459</v>
      </c>
      <c r="T500" s="173"/>
      <c r="U500" s="173"/>
      <c r="V500" s="50">
        <f>S510+U500</f>
        <v>-1459</v>
      </c>
      <c r="W500" s="172"/>
    </row>
    <row r="501" spans="1:23" ht="15.75" customHeight="1">
      <c r="A501" s="114"/>
      <c r="B501" s="118"/>
      <c r="C501" s="117"/>
      <c r="D501" s="19">
        <f t="shared" ref="D501:D510" si="294">D500+C501</f>
        <v>-1459</v>
      </c>
      <c r="E501" s="106"/>
      <c r="F501" s="107"/>
      <c r="G501" s="26">
        <f t="shared" ref="G501:G510" si="295">G500+F501</f>
        <v>-1459</v>
      </c>
      <c r="H501" s="133"/>
      <c r="I501" s="117"/>
      <c r="J501" s="19">
        <f t="shared" ref="J501:J510" si="296">J500+I501</f>
        <v>-1459</v>
      </c>
      <c r="K501" s="106"/>
      <c r="L501" s="107"/>
      <c r="M501" s="26">
        <f t="shared" ref="M501:M510" si="297">M500+L501</f>
        <v>-1459</v>
      </c>
      <c r="N501" s="118"/>
      <c r="O501" s="117"/>
      <c r="P501" s="38">
        <f t="shared" ref="P501:P510" si="298">P500+O501</f>
        <v>-1459</v>
      </c>
      <c r="Q501" s="106"/>
      <c r="R501" s="107"/>
      <c r="S501" s="26">
        <f t="shared" ref="S501:S510" si="299">S500+R501</f>
        <v>-1459</v>
      </c>
      <c r="T501" s="136"/>
      <c r="U501" s="136"/>
      <c r="V501" s="45">
        <f t="shared" ref="V501:V510" si="300">V500+U501</f>
        <v>-1459</v>
      </c>
      <c r="W501" s="143"/>
    </row>
    <row r="502" spans="1:23" ht="15.75" customHeight="1">
      <c r="A502" s="114"/>
      <c r="B502" s="118"/>
      <c r="C502" s="117"/>
      <c r="D502" s="19">
        <f t="shared" si="294"/>
        <v>-1459</v>
      </c>
      <c r="E502" s="106"/>
      <c r="F502" s="107"/>
      <c r="G502" s="26">
        <f t="shared" si="295"/>
        <v>-1459</v>
      </c>
      <c r="H502" s="133"/>
      <c r="I502" s="117"/>
      <c r="J502" s="19">
        <f t="shared" si="296"/>
        <v>-1459</v>
      </c>
      <c r="K502" s="106"/>
      <c r="L502" s="107"/>
      <c r="M502" s="26">
        <f t="shared" si="297"/>
        <v>-1459</v>
      </c>
      <c r="N502" s="117"/>
      <c r="O502" s="117"/>
      <c r="P502" s="38">
        <f t="shared" si="298"/>
        <v>-1459</v>
      </c>
      <c r="Q502" s="106"/>
      <c r="R502" s="107"/>
      <c r="S502" s="26">
        <f t="shared" si="299"/>
        <v>-1459</v>
      </c>
      <c r="T502" s="136"/>
      <c r="U502" s="136"/>
      <c r="V502" s="45">
        <f t="shared" si="300"/>
        <v>-1459</v>
      </c>
      <c r="W502" s="143"/>
    </row>
    <row r="503" spans="1:23" ht="15.75" customHeight="1">
      <c r="A503" s="114"/>
      <c r="B503" s="118"/>
      <c r="C503" s="117"/>
      <c r="D503" s="19">
        <f t="shared" si="294"/>
        <v>-1459</v>
      </c>
      <c r="E503" s="106"/>
      <c r="F503" s="107"/>
      <c r="G503" s="26">
        <f t="shared" si="295"/>
        <v>-1459</v>
      </c>
      <c r="H503" s="133"/>
      <c r="I503" s="117"/>
      <c r="J503" s="19">
        <f t="shared" si="296"/>
        <v>-1459</v>
      </c>
      <c r="K503" s="106"/>
      <c r="L503" s="107"/>
      <c r="M503" s="26">
        <f t="shared" si="297"/>
        <v>-1459</v>
      </c>
      <c r="N503" s="117"/>
      <c r="O503" s="117"/>
      <c r="P503" s="38">
        <f t="shared" si="298"/>
        <v>-1459</v>
      </c>
      <c r="Q503" s="106"/>
      <c r="R503" s="107"/>
      <c r="S503" s="26">
        <f t="shared" si="299"/>
        <v>-1459</v>
      </c>
      <c r="T503" s="136"/>
      <c r="U503" s="136"/>
      <c r="V503" s="45">
        <f t="shared" si="300"/>
        <v>-1459</v>
      </c>
      <c r="W503" s="143"/>
    </row>
    <row r="504" spans="1:23" ht="15.75" customHeight="1">
      <c r="A504" s="114"/>
      <c r="B504" s="118"/>
      <c r="C504" s="117"/>
      <c r="D504" s="19">
        <f t="shared" si="294"/>
        <v>-1459</v>
      </c>
      <c r="E504" s="106"/>
      <c r="F504" s="107"/>
      <c r="G504" s="26">
        <f t="shared" si="295"/>
        <v>-1459</v>
      </c>
      <c r="H504" s="133"/>
      <c r="I504" s="117"/>
      <c r="J504" s="19">
        <f t="shared" si="296"/>
        <v>-1459</v>
      </c>
      <c r="K504" s="106"/>
      <c r="L504" s="107"/>
      <c r="M504" s="26">
        <f t="shared" si="297"/>
        <v>-1459</v>
      </c>
      <c r="N504" s="117"/>
      <c r="O504" s="117"/>
      <c r="P504" s="38">
        <f t="shared" si="298"/>
        <v>-1459</v>
      </c>
      <c r="Q504" s="106"/>
      <c r="R504" s="107"/>
      <c r="S504" s="26">
        <f t="shared" si="299"/>
        <v>-1459</v>
      </c>
      <c r="T504" s="136"/>
      <c r="U504" s="136"/>
      <c r="V504" s="45">
        <f t="shared" si="300"/>
        <v>-1459</v>
      </c>
      <c r="W504" s="143"/>
    </row>
    <row r="505" spans="1:23" ht="15.75" customHeight="1">
      <c r="A505" s="114"/>
      <c r="B505" s="118"/>
      <c r="C505" s="117"/>
      <c r="D505" s="19">
        <f t="shared" si="294"/>
        <v>-1459</v>
      </c>
      <c r="E505" s="106"/>
      <c r="F505" s="107"/>
      <c r="G505" s="26">
        <f t="shared" si="295"/>
        <v>-1459</v>
      </c>
      <c r="H505" s="133"/>
      <c r="I505" s="117"/>
      <c r="J505" s="19">
        <f t="shared" si="296"/>
        <v>-1459</v>
      </c>
      <c r="K505" s="106"/>
      <c r="L505" s="107"/>
      <c r="M505" s="26">
        <f t="shared" si="297"/>
        <v>-1459</v>
      </c>
      <c r="N505" s="117"/>
      <c r="O505" s="117"/>
      <c r="P505" s="38">
        <f t="shared" si="298"/>
        <v>-1459</v>
      </c>
      <c r="Q505" s="106"/>
      <c r="R505" s="107"/>
      <c r="S505" s="26">
        <f t="shared" si="299"/>
        <v>-1459</v>
      </c>
      <c r="T505" s="136"/>
      <c r="U505" s="136"/>
      <c r="V505" s="45">
        <f t="shared" si="300"/>
        <v>-1459</v>
      </c>
      <c r="W505" s="143"/>
    </row>
    <row r="506" spans="1:23" ht="15.75" customHeight="1">
      <c r="A506" s="114"/>
      <c r="B506" s="117"/>
      <c r="C506" s="117"/>
      <c r="D506" s="19">
        <f t="shared" si="294"/>
        <v>-1459</v>
      </c>
      <c r="E506" s="106"/>
      <c r="F506" s="107"/>
      <c r="G506" s="26">
        <f t="shared" si="295"/>
        <v>-1459</v>
      </c>
      <c r="H506" s="133"/>
      <c r="I506" s="117"/>
      <c r="J506" s="19">
        <f t="shared" si="296"/>
        <v>-1459</v>
      </c>
      <c r="K506" s="106"/>
      <c r="L506" s="107"/>
      <c r="M506" s="26">
        <f t="shared" si="297"/>
        <v>-1459</v>
      </c>
      <c r="N506" s="117"/>
      <c r="O506" s="117"/>
      <c r="P506" s="38">
        <f t="shared" si="298"/>
        <v>-1459</v>
      </c>
      <c r="Q506" s="106"/>
      <c r="R506" s="107"/>
      <c r="S506" s="26">
        <f t="shared" si="299"/>
        <v>-1459</v>
      </c>
      <c r="T506" s="136"/>
      <c r="U506" s="136"/>
      <c r="V506" s="45">
        <f t="shared" si="300"/>
        <v>-1459</v>
      </c>
      <c r="W506" s="143"/>
    </row>
    <row r="507" spans="1:23" ht="15.75" customHeight="1">
      <c r="A507" s="114"/>
      <c r="B507" s="117"/>
      <c r="C507" s="117"/>
      <c r="D507" s="19">
        <f t="shared" si="294"/>
        <v>-1459</v>
      </c>
      <c r="E507" s="106"/>
      <c r="F507" s="107"/>
      <c r="G507" s="26">
        <f t="shared" si="295"/>
        <v>-1459</v>
      </c>
      <c r="H507" s="133"/>
      <c r="I507" s="117"/>
      <c r="J507" s="19">
        <f t="shared" si="296"/>
        <v>-1459</v>
      </c>
      <c r="K507" s="106"/>
      <c r="L507" s="107"/>
      <c r="M507" s="26">
        <f t="shared" si="297"/>
        <v>-1459</v>
      </c>
      <c r="N507" s="117"/>
      <c r="O507" s="117"/>
      <c r="P507" s="38">
        <f t="shared" si="298"/>
        <v>-1459</v>
      </c>
      <c r="Q507" s="106"/>
      <c r="R507" s="107"/>
      <c r="S507" s="26">
        <f t="shared" si="299"/>
        <v>-1459</v>
      </c>
      <c r="T507" s="136"/>
      <c r="U507" s="136"/>
      <c r="V507" s="45">
        <f t="shared" si="300"/>
        <v>-1459</v>
      </c>
      <c r="W507" s="143"/>
    </row>
    <row r="508" spans="1:23" ht="15.75" customHeight="1">
      <c r="A508" s="114"/>
      <c r="B508" s="117"/>
      <c r="C508" s="117"/>
      <c r="D508" s="19">
        <f t="shared" si="294"/>
        <v>-1459</v>
      </c>
      <c r="E508" s="106"/>
      <c r="F508" s="107"/>
      <c r="G508" s="26">
        <f t="shared" si="295"/>
        <v>-1459</v>
      </c>
      <c r="H508" s="133"/>
      <c r="I508" s="117"/>
      <c r="J508" s="19">
        <f t="shared" si="296"/>
        <v>-1459</v>
      </c>
      <c r="K508" s="106"/>
      <c r="L508" s="107"/>
      <c r="M508" s="26">
        <f t="shared" si="297"/>
        <v>-1459</v>
      </c>
      <c r="N508" s="117"/>
      <c r="O508" s="117"/>
      <c r="P508" s="38">
        <f t="shared" si="298"/>
        <v>-1459</v>
      </c>
      <c r="Q508" s="106"/>
      <c r="R508" s="107"/>
      <c r="S508" s="26">
        <f t="shared" si="299"/>
        <v>-1459</v>
      </c>
      <c r="T508" s="136"/>
      <c r="U508" s="136"/>
      <c r="V508" s="45">
        <f t="shared" si="300"/>
        <v>-1459</v>
      </c>
      <c r="W508" s="143"/>
    </row>
    <row r="509" spans="1:23" ht="15.75" customHeight="1">
      <c r="A509" s="114"/>
      <c r="B509" s="117"/>
      <c r="C509" s="117"/>
      <c r="D509" s="19">
        <f t="shared" si="294"/>
        <v>-1459</v>
      </c>
      <c r="E509" s="122"/>
      <c r="F509" s="123"/>
      <c r="G509" s="26">
        <f t="shared" si="295"/>
        <v>-1459</v>
      </c>
      <c r="H509" s="133"/>
      <c r="I509" s="117"/>
      <c r="J509" s="19">
        <f t="shared" si="296"/>
        <v>-1459</v>
      </c>
      <c r="K509" s="122"/>
      <c r="L509" s="123"/>
      <c r="M509" s="26">
        <f t="shared" si="297"/>
        <v>-1459</v>
      </c>
      <c r="N509" s="117"/>
      <c r="O509" s="117"/>
      <c r="P509" s="38">
        <f t="shared" si="298"/>
        <v>-1459</v>
      </c>
      <c r="Q509" s="122"/>
      <c r="R509" s="123"/>
      <c r="S509" s="26">
        <f t="shared" si="299"/>
        <v>-1459</v>
      </c>
      <c r="T509" s="136"/>
      <c r="U509" s="136"/>
      <c r="V509" s="45">
        <f t="shared" si="300"/>
        <v>-1459</v>
      </c>
      <c r="W509" s="143"/>
    </row>
    <row r="510" spans="1:23" ht="15.75" customHeight="1">
      <c r="A510" s="114"/>
      <c r="B510" s="128"/>
      <c r="C510" s="128"/>
      <c r="D510" s="29">
        <f t="shared" si="294"/>
        <v>-1459</v>
      </c>
      <c r="E510" s="122"/>
      <c r="F510" s="123"/>
      <c r="G510" s="53">
        <f t="shared" si="295"/>
        <v>-1459</v>
      </c>
      <c r="H510" s="140"/>
      <c r="I510" s="128"/>
      <c r="J510" s="29">
        <f t="shared" si="296"/>
        <v>-1459</v>
      </c>
      <c r="K510" s="122"/>
      <c r="L510" s="123"/>
      <c r="M510" s="39">
        <f t="shared" si="297"/>
        <v>-1459</v>
      </c>
      <c r="N510" s="128"/>
      <c r="O510" s="128"/>
      <c r="P510" s="40">
        <f t="shared" si="298"/>
        <v>-1459</v>
      </c>
      <c r="Q510" s="122"/>
      <c r="R510" s="123"/>
      <c r="S510" s="39">
        <f t="shared" si="299"/>
        <v>-1459</v>
      </c>
      <c r="T510" s="141"/>
      <c r="U510" s="141"/>
      <c r="V510" s="46">
        <f t="shared" si="300"/>
        <v>-1459</v>
      </c>
      <c r="W510" s="143"/>
    </row>
    <row r="511" spans="1:23" ht="15.75" customHeight="1">
      <c r="A511" s="87"/>
      <c r="B511" s="77">
        <f ca="1">IFERROR(__xludf.DUMMYFUNCTION("DATE(VALUE(LEFT($B$2,4)),VALUE(MID($B$2,6,2)),VALUE(RIGHT($B$2,2)))
+ (VALUE(REGEXEXTRACT(INDIRECT(""A""&amp;ROW()+1),""\d+""))-1)*7
+ INT((COLUMN()-COLUMN($B511))/3)
"),46320)</f>
        <v>46320</v>
      </c>
      <c r="C511" s="81"/>
      <c r="D511" s="82"/>
      <c r="E511" s="77">
        <f ca="1">IFERROR(__xludf.DUMMYFUNCTION("DATE(VALUE(LEFT($B$2,4)),VALUE(MID($B$2,6,2)),VALUE(RIGHT($B$2,2)))
+ (VALUE(REGEXEXTRACT(INDIRECT(""A""&amp;ROW()+1),""\d+""))-1)*7
+ INT((COLUMN()-COLUMN($B511))/3)
"),46321)</f>
        <v>46321</v>
      </c>
      <c r="F511" s="81"/>
      <c r="G511" s="82"/>
      <c r="H511" s="77">
        <f ca="1">IFERROR(__xludf.DUMMYFUNCTION("DATE(VALUE(LEFT($B$2,4)),VALUE(MID($B$2,6,2)),VALUE(RIGHT($B$2,2)))
+ (VALUE(REGEXEXTRACT(INDIRECT(""A""&amp;ROW()+1),""\d+""))-1)*7
+ INT((COLUMN()-COLUMN($B511))/3)
"),46322)</f>
        <v>46322</v>
      </c>
      <c r="I511" s="81"/>
      <c r="J511" s="82"/>
      <c r="K511" s="77">
        <f ca="1">IFERROR(__xludf.DUMMYFUNCTION("DATE(VALUE(LEFT($B$2,4)),VALUE(MID($B$2,6,2)),VALUE(RIGHT($B$2,2)))
+ (VALUE(REGEXEXTRACT(INDIRECT(""A""&amp;ROW()+1),""\d+""))-1)*7
+ INT((COLUMN()-COLUMN($B511))/3)
"),46323)</f>
        <v>46323</v>
      </c>
      <c r="L511" s="81"/>
      <c r="M511" s="82"/>
      <c r="N511" s="77">
        <f ca="1">IFERROR(__xludf.DUMMYFUNCTION("DATE(VALUE(LEFT($B$2,4)),VALUE(MID($B$2,6,2)),VALUE(RIGHT($B$2,2)))
+ (VALUE(REGEXEXTRACT(INDIRECT(""A""&amp;ROW()+1),""\d+""))-1)*7
+ INT((COLUMN()-COLUMN($B511))/3)
"),46324)</f>
        <v>46324</v>
      </c>
      <c r="O511" s="81"/>
      <c r="P511" s="82"/>
      <c r="Q511" s="77">
        <f ca="1">IFERROR(__xludf.DUMMYFUNCTION("DATE(VALUE(LEFT($B$2,4)),VALUE(MID($B$2,6,2)),VALUE(RIGHT($B$2,2)))
+ (VALUE(REGEXEXTRACT(INDIRECT(""A""&amp;ROW()+1),""\d+""))-1)*7
+ INT((COLUMN()-COLUMN($B511))/3)
"),46325)</f>
        <v>46325</v>
      </c>
      <c r="R511" s="81"/>
      <c r="S511" s="82"/>
      <c r="T511" s="77">
        <f ca="1">IFERROR(__xludf.DUMMYFUNCTION("DATE(VALUE(LEFT($B$2,4)),VALUE(MID($B$2,6,2)),VALUE(RIGHT($B$2,2)))
+ (VALUE(REGEXEXTRACT(INDIRECT(""A""&amp;ROW()+1),""\d+""))-1)*7
+ INT((COLUMN()-COLUMN($B511))/3)
"),46326)</f>
        <v>46326</v>
      </c>
      <c r="U511" s="81"/>
      <c r="V511" s="82"/>
      <c r="W511" s="143"/>
    </row>
    <row r="512" spans="1:23" ht="15.75" customHeight="1">
      <c r="A512" s="51" t="s">
        <v>172</v>
      </c>
      <c r="B512" s="112"/>
      <c r="C512" s="111"/>
      <c r="D512" s="17">
        <f>V510+C512</f>
        <v>-1459</v>
      </c>
      <c r="E512" s="109"/>
      <c r="F512" s="109"/>
      <c r="G512" s="54">
        <f>D522+F512</f>
        <v>-1459</v>
      </c>
      <c r="H512" s="110"/>
      <c r="I512" s="111"/>
      <c r="J512" s="17">
        <f>G522+I512</f>
        <v>-1459</v>
      </c>
      <c r="K512" s="109"/>
      <c r="L512" s="109"/>
      <c r="M512" s="35">
        <f>J522+L512</f>
        <v>-1459</v>
      </c>
      <c r="N512" s="112"/>
      <c r="O512" s="111"/>
      <c r="P512" s="17">
        <f>M522+O512</f>
        <v>-1459</v>
      </c>
      <c r="Q512" s="109"/>
      <c r="R512" s="109"/>
      <c r="S512" s="35">
        <f>P522+R512</f>
        <v>-1459</v>
      </c>
      <c r="T512" s="112"/>
      <c r="U512" s="111"/>
      <c r="V512" s="48">
        <f>S522+U512</f>
        <v>-1459</v>
      </c>
      <c r="W512" s="143"/>
    </row>
    <row r="513" spans="1:23" ht="15.75" customHeight="1">
      <c r="A513" s="114"/>
      <c r="B513" s="106"/>
      <c r="C513" s="107"/>
      <c r="D513" s="26">
        <f t="shared" ref="D513:D522" si="301">D512+C513</f>
        <v>-1459</v>
      </c>
      <c r="E513" s="117"/>
      <c r="F513" s="117"/>
      <c r="G513" s="19">
        <f t="shared" ref="G513:G522" si="302">G512+F513</f>
        <v>-1459</v>
      </c>
      <c r="H513" s="116"/>
      <c r="I513" s="107"/>
      <c r="J513" s="26">
        <f t="shared" ref="J513:J522" si="303">J512+I513</f>
        <v>-1459</v>
      </c>
      <c r="K513" s="117"/>
      <c r="L513" s="117"/>
      <c r="M513" s="38">
        <f t="shared" ref="M513:M522" si="304">M512+L513</f>
        <v>-1459</v>
      </c>
      <c r="N513" s="106"/>
      <c r="O513" s="107"/>
      <c r="P513" s="26">
        <f t="shared" ref="P513:P522" si="305">P512+O513</f>
        <v>-1459</v>
      </c>
      <c r="Q513" s="117"/>
      <c r="R513" s="117"/>
      <c r="S513" s="38">
        <f t="shared" ref="S513:S522" si="306">S512+R513</f>
        <v>-1459</v>
      </c>
      <c r="T513" s="106"/>
      <c r="U513" s="107"/>
      <c r="V513" s="20">
        <f t="shared" ref="V513:V522" si="307">V512+U513</f>
        <v>-1459</v>
      </c>
      <c r="W513" s="143"/>
    </row>
    <row r="514" spans="1:23" ht="15.75" customHeight="1">
      <c r="A514" s="114"/>
      <c r="B514" s="106"/>
      <c r="C514" s="107"/>
      <c r="D514" s="26">
        <f t="shared" si="301"/>
        <v>-1459</v>
      </c>
      <c r="E514" s="117"/>
      <c r="F514" s="117"/>
      <c r="G514" s="19">
        <f t="shared" si="302"/>
        <v>-1459</v>
      </c>
      <c r="H514" s="116"/>
      <c r="I514" s="107"/>
      <c r="J514" s="26">
        <f t="shared" si="303"/>
        <v>-1459</v>
      </c>
      <c r="K514" s="117"/>
      <c r="L514" s="117"/>
      <c r="M514" s="38">
        <f t="shared" si="304"/>
        <v>-1459</v>
      </c>
      <c r="N514" s="106"/>
      <c r="O514" s="107"/>
      <c r="P514" s="26">
        <f t="shared" si="305"/>
        <v>-1459</v>
      </c>
      <c r="Q514" s="117"/>
      <c r="R514" s="117"/>
      <c r="S514" s="38">
        <f t="shared" si="306"/>
        <v>-1459</v>
      </c>
      <c r="T514" s="106"/>
      <c r="U514" s="116"/>
      <c r="V514" s="20">
        <f t="shared" si="307"/>
        <v>-1459</v>
      </c>
      <c r="W514" s="143"/>
    </row>
    <row r="515" spans="1:23" ht="15.75" customHeight="1">
      <c r="A515" s="114"/>
      <c r="B515" s="106"/>
      <c r="C515" s="107"/>
      <c r="D515" s="26">
        <f t="shared" si="301"/>
        <v>-1459</v>
      </c>
      <c r="E515" s="117"/>
      <c r="F515" s="117"/>
      <c r="G515" s="19">
        <f t="shared" si="302"/>
        <v>-1459</v>
      </c>
      <c r="H515" s="116"/>
      <c r="I515" s="107"/>
      <c r="J515" s="26">
        <f t="shared" si="303"/>
        <v>-1459</v>
      </c>
      <c r="K515" s="117"/>
      <c r="L515" s="117"/>
      <c r="M515" s="38">
        <f t="shared" si="304"/>
        <v>-1459</v>
      </c>
      <c r="N515" s="106"/>
      <c r="O515" s="107"/>
      <c r="P515" s="26">
        <f t="shared" si="305"/>
        <v>-1459</v>
      </c>
      <c r="Q515" s="117"/>
      <c r="R515" s="117"/>
      <c r="S515" s="38">
        <f t="shared" si="306"/>
        <v>-1459</v>
      </c>
      <c r="T515" s="106"/>
      <c r="U515" s="116"/>
      <c r="V515" s="20">
        <f t="shared" si="307"/>
        <v>-1459</v>
      </c>
      <c r="W515" s="143"/>
    </row>
    <row r="516" spans="1:23" ht="15.75" customHeight="1">
      <c r="A516" s="114"/>
      <c r="B516" s="106"/>
      <c r="C516" s="107"/>
      <c r="D516" s="26">
        <f t="shared" si="301"/>
        <v>-1459</v>
      </c>
      <c r="E516" s="117"/>
      <c r="F516" s="117"/>
      <c r="G516" s="19">
        <f t="shared" si="302"/>
        <v>-1459</v>
      </c>
      <c r="H516" s="116"/>
      <c r="I516" s="107"/>
      <c r="J516" s="26">
        <f t="shared" si="303"/>
        <v>-1459</v>
      </c>
      <c r="K516" s="117"/>
      <c r="L516" s="117"/>
      <c r="M516" s="38">
        <f t="shared" si="304"/>
        <v>-1459</v>
      </c>
      <c r="N516" s="106"/>
      <c r="O516" s="107"/>
      <c r="P516" s="26">
        <f t="shared" si="305"/>
        <v>-1459</v>
      </c>
      <c r="Q516" s="117"/>
      <c r="R516" s="117"/>
      <c r="S516" s="38">
        <f t="shared" si="306"/>
        <v>-1459</v>
      </c>
      <c r="T516" s="106"/>
      <c r="U516" s="116"/>
      <c r="V516" s="20">
        <f t="shared" si="307"/>
        <v>-1459</v>
      </c>
      <c r="W516" s="143"/>
    </row>
    <row r="517" spans="1:23" ht="15.75" customHeight="1">
      <c r="A517" s="114"/>
      <c r="B517" s="106"/>
      <c r="C517" s="107"/>
      <c r="D517" s="26">
        <f t="shared" si="301"/>
        <v>-1459</v>
      </c>
      <c r="E517" s="117"/>
      <c r="F517" s="117"/>
      <c r="G517" s="19">
        <f t="shared" si="302"/>
        <v>-1459</v>
      </c>
      <c r="H517" s="116"/>
      <c r="I517" s="107"/>
      <c r="J517" s="26">
        <f t="shared" si="303"/>
        <v>-1459</v>
      </c>
      <c r="K517" s="117"/>
      <c r="L517" s="117"/>
      <c r="M517" s="38">
        <f t="shared" si="304"/>
        <v>-1459</v>
      </c>
      <c r="N517" s="106"/>
      <c r="O517" s="107"/>
      <c r="P517" s="26">
        <f t="shared" si="305"/>
        <v>-1459</v>
      </c>
      <c r="Q517" s="117"/>
      <c r="R517" s="117"/>
      <c r="S517" s="38">
        <f t="shared" si="306"/>
        <v>-1459</v>
      </c>
      <c r="T517" s="106"/>
      <c r="U517" s="116"/>
      <c r="V517" s="20">
        <f t="shared" si="307"/>
        <v>-1459</v>
      </c>
      <c r="W517" s="143"/>
    </row>
    <row r="518" spans="1:23" ht="15.75" customHeight="1">
      <c r="A518" s="114"/>
      <c r="B518" s="106"/>
      <c r="C518" s="107"/>
      <c r="D518" s="26">
        <f t="shared" si="301"/>
        <v>-1459</v>
      </c>
      <c r="E518" s="117"/>
      <c r="F518" s="117"/>
      <c r="G518" s="19">
        <f t="shared" si="302"/>
        <v>-1459</v>
      </c>
      <c r="H518" s="116"/>
      <c r="I518" s="107"/>
      <c r="J518" s="26">
        <f t="shared" si="303"/>
        <v>-1459</v>
      </c>
      <c r="K518" s="117"/>
      <c r="L518" s="117"/>
      <c r="M518" s="38">
        <f t="shared" si="304"/>
        <v>-1459</v>
      </c>
      <c r="N518" s="106"/>
      <c r="O518" s="107"/>
      <c r="P518" s="26">
        <f t="shared" si="305"/>
        <v>-1459</v>
      </c>
      <c r="Q518" s="117"/>
      <c r="R518" s="117"/>
      <c r="S518" s="38">
        <f t="shared" si="306"/>
        <v>-1459</v>
      </c>
      <c r="T518" s="106"/>
      <c r="U518" s="116"/>
      <c r="V518" s="20">
        <f t="shared" si="307"/>
        <v>-1459</v>
      </c>
      <c r="W518" s="143"/>
    </row>
    <row r="519" spans="1:23" ht="15.75" customHeight="1">
      <c r="A519" s="114"/>
      <c r="B519" s="106"/>
      <c r="C519" s="107"/>
      <c r="D519" s="26">
        <f t="shared" si="301"/>
        <v>-1459</v>
      </c>
      <c r="E519" s="117"/>
      <c r="F519" s="117"/>
      <c r="G519" s="19">
        <f t="shared" si="302"/>
        <v>-1459</v>
      </c>
      <c r="H519" s="116"/>
      <c r="I519" s="107"/>
      <c r="J519" s="26">
        <f t="shared" si="303"/>
        <v>-1459</v>
      </c>
      <c r="K519" s="117"/>
      <c r="L519" s="117"/>
      <c r="M519" s="38">
        <f t="shared" si="304"/>
        <v>-1459</v>
      </c>
      <c r="N519" s="106"/>
      <c r="O519" s="107"/>
      <c r="P519" s="26">
        <f t="shared" si="305"/>
        <v>-1459</v>
      </c>
      <c r="Q519" s="117"/>
      <c r="R519" s="117"/>
      <c r="S519" s="38">
        <f t="shared" si="306"/>
        <v>-1459</v>
      </c>
      <c r="T519" s="106"/>
      <c r="U519" s="116"/>
      <c r="V519" s="20">
        <f t="shared" si="307"/>
        <v>-1459</v>
      </c>
      <c r="W519" s="143"/>
    </row>
    <row r="520" spans="1:23" ht="15.75" customHeight="1">
      <c r="A520" s="114"/>
      <c r="B520" s="122"/>
      <c r="C520" s="123"/>
      <c r="D520" s="26">
        <f t="shared" si="301"/>
        <v>-1459</v>
      </c>
      <c r="E520" s="117"/>
      <c r="F520" s="117"/>
      <c r="G520" s="19">
        <f t="shared" si="302"/>
        <v>-1459</v>
      </c>
      <c r="H520" s="124"/>
      <c r="I520" s="123"/>
      <c r="J520" s="26">
        <f t="shared" si="303"/>
        <v>-1459</v>
      </c>
      <c r="K520" s="117"/>
      <c r="L520" s="117"/>
      <c r="M520" s="38">
        <f t="shared" si="304"/>
        <v>-1459</v>
      </c>
      <c r="N520" s="122"/>
      <c r="O520" s="123"/>
      <c r="P520" s="26">
        <f t="shared" si="305"/>
        <v>-1459</v>
      </c>
      <c r="Q520" s="117"/>
      <c r="R520" s="117"/>
      <c r="S520" s="38">
        <f t="shared" si="306"/>
        <v>-1459</v>
      </c>
      <c r="T520" s="106"/>
      <c r="U520" s="116"/>
      <c r="V520" s="20">
        <f t="shared" si="307"/>
        <v>-1459</v>
      </c>
      <c r="W520" s="143"/>
    </row>
    <row r="521" spans="1:23" ht="15.75" customHeight="1">
      <c r="A521" s="114"/>
      <c r="B521" s="122"/>
      <c r="C521" s="123"/>
      <c r="D521" s="26">
        <f t="shared" si="301"/>
        <v>-1459</v>
      </c>
      <c r="E521" s="117"/>
      <c r="F521" s="117"/>
      <c r="G521" s="19">
        <f t="shared" si="302"/>
        <v>-1459</v>
      </c>
      <c r="H521" s="124"/>
      <c r="I521" s="123"/>
      <c r="J521" s="26">
        <f t="shared" si="303"/>
        <v>-1459</v>
      </c>
      <c r="K521" s="117"/>
      <c r="L521" s="117"/>
      <c r="M521" s="38">
        <f t="shared" si="304"/>
        <v>-1459</v>
      </c>
      <c r="N521" s="122"/>
      <c r="O521" s="123"/>
      <c r="P521" s="26">
        <f t="shared" si="305"/>
        <v>-1459</v>
      </c>
      <c r="Q521" s="117"/>
      <c r="R521" s="117"/>
      <c r="S521" s="38">
        <f t="shared" si="306"/>
        <v>-1459</v>
      </c>
      <c r="T521" s="122"/>
      <c r="U521" s="124"/>
      <c r="V521" s="20">
        <f t="shared" si="307"/>
        <v>-1459</v>
      </c>
      <c r="W521" s="143"/>
    </row>
    <row r="522" spans="1:23" ht="15.75" customHeight="1">
      <c r="A522" s="114"/>
      <c r="B522" s="122"/>
      <c r="C522" s="123"/>
      <c r="D522" s="39">
        <f t="shared" si="301"/>
        <v>-1459</v>
      </c>
      <c r="E522" s="128"/>
      <c r="F522" s="128"/>
      <c r="G522" s="55">
        <f t="shared" si="302"/>
        <v>-1459</v>
      </c>
      <c r="H522" s="124"/>
      <c r="I522" s="123"/>
      <c r="J522" s="39">
        <f t="shared" si="303"/>
        <v>-1459</v>
      </c>
      <c r="K522" s="128"/>
      <c r="L522" s="128"/>
      <c r="M522" s="40">
        <f t="shared" si="304"/>
        <v>-1459</v>
      </c>
      <c r="N522" s="122"/>
      <c r="O522" s="123"/>
      <c r="P522" s="39">
        <f t="shared" si="305"/>
        <v>-1459</v>
      </c>
      <c r="Q522" s="128"/>
      <c r="R522" s="128"/>
      <c r="S522" s="40">
        <f t="shared" si="306"/>
        <v>-1459</v>
      </c>
      <c r="T522" s="122"/>
      <c r="U522" s="123"/>
      <c r="V522" s="49">
        <f t="shared" si="307"/>
        <v>-1459</v>
      </c>
      <c r="W522" s="143"/>
    </row>
    <row r="523" spans="1:23" ht="15.75" customHeight="1">
      <c r="A523" s="87"/>
      <c r="B523" s="77">
        <f ca="1">IFERROR(__xludf.DUMMYFUNCTION("DATE(VALUE(LEFT($B$2,4)),VALUE(MID($B$2,6,2)),VALUE(RIGHT($B$2,2)))
+ (VALUE(REGEXEXTRACT(INDIRECT(""A""&amp;ROW()+1),""\d+""))-1)*7
+ INT((COLUMN()-COLUMN($B523))/3)
"),46327)</f>
        <v>46327</v>
      </c>
      <c r="C523" s="81"/>
      <c r="D523" s="82"/>
      <c r="E523" s="77">
        <f ca="1">IFERROR(__xludf.DUMMYFUNCTION("DATE(VALUE(LEFT($B$2,4)),VALUE(MID($B$2,6,2)),VALUE(RIGHT($B$2,2)))
+ (VALUE(REGEXEXTRACT(INDIRECT(""A""&amp;ROW()+1),""\d+""))-1)*7
+ INT((COLUMN()-COLUMN($B523))/3)
"),46328)</f>
        <v>46328</v>
      </c>
      <c r="F523" s="81"/>
      <c r="G523" s="82"/>
      <c r="H523" s="77">
        <f ca="1">IFERROR(__xludf.DUMMYFUNCTION("DATE(VALUE(LEFT($B$2,4)),VALUE(MID($B$2,6,2)),VALUE(RIGHT($B$2,2)))
+ (VALUE(REGEXEXTRACT(INDIRECT(""A""&amp;ROW()+1),""\d+""))-1)*7
+ INT((COLUMN()-COLUMN($B523))/3)
"),46329)</f>
        <v>46329</v>
      </c>
      <c r="I523" s="81"/>
      <c r="J523" s="82"/>
      <c r="K523" s="77">
        <f ca="1">IFERROR(__xludf.DUMMYFUNCTION("DATE(VALUE(LEFT($B$2,4)),VALUE(MID($B$2,6,2)),VALUE(RIGHT($B$2,2)))
+ (VALUE(REGEXEXTRACT(INDIRECT(""A""&amp;ROW()+1),""\d+""))-1)*7
+ INT((COLUMN()-COLUMN($B523))/3)
"),46330)</f>
        <v>46330</v>
      </c>
      <c r="L523" s="81"/>
      <c r="M523" s="82"/>
      <c r="N523" s="77">
        <f ca="1">IFERROR(__xludf.DUMMYFUNCTION("DATE(VALUE(LEFT($B$2,4)),VALUE(MID($B$2,6,2)),VALUE(RIGHT($B$2,2)))
+ (VALUE(REGEXEXTRACT(INDIRECT(""A""&amp;ROW()+1),""\d+""))-1)*7
+ INT((COLUMN()-COLUMN($B523))/3)
"),46331)</f>
        <v>46331</v>
      </c>
      <c r="O523" s="81"/>
      <c r="P523" s="82"/>
      <c r="Q523" s="77">
        <f ca="1">IFERROR(__xludf.DUMMYFUNCTION("DATE(VALUE(LEFT($B$2,4)),VALUE(MID($B$2,6,2)),VALUE(RIGHT($B$2,2)))
+ (VALUE(REGEXEXTRACT(INDIRECT(""A""&amp;ROW()+1),""\d+""))-1)*7
+ INT((COLUMN()-COLUMN($B523))/3)
"),46332)</f>
        <v>46332</v>
      </c>
      <c r="R523" s="81"/>
      <c r="S523" s="82"/>
      <c r="T523" s="77">
        <f ca="1">IFERROR(__xludf.DUMMYFUNCTION("DATE(VALUE(LEFT($B$2,4)),VALUE(MID($B$2,6,2)),VALUE(RIGHT($B$2,2)))
+ (VALUE(REGEXEXTRACT(INDIRECT(""A""&amp;ROW()+1),""\d+""))-1)*7
+ INT((COLUMN()-COLUMN($B523))/3)
"),46333)</f>
        <v>46333</v>
      </c>
      <c r="U523" s="81"/>
      <c r="V523" s="82"/>
      <c r="W523" s="52" t="s">
        <v>20</v>
      </c>
    </row>
    <row r="524" spans="1:23" ht="15.75" customHeight="1">
      <c r="A524" s="47" t="s">
        <v>173</v>
      </c>
      <c r="B524" s="113"/>
      <c r="C524" s="109"/>
      <c r="D524" s="42">
        <f>V522+C524</f>
        <v>-1459</v>
      </c>
      <c r="E524" s="112"/>
      <c r="F524" s="111"/>
      <c r="G524" s="36">
        <f>D534+F524</f>
        <v>-1459</v>
      </c>
      <c r="H524" s="132"/>
      <c r="I524" s="109"/>
      <c r="J524" s="42">
        <f>G534+I524</f>
        <v>-1459</v>
      </c>
      <c r="K524" s="112"/>
      <c r="L524" s="111"/>
      <c r="M524" s="18">
        <f>J534+L524</f>
        <v>-1459</v>
      </c>
      <c r="N524" s="113"/>
      <c r="O524" s="109"/>
      <c r="P524" s="35">
        <f>M534+O524</f>
        <v>-1459</v>
      </c>
      <c r="Q524" s="112"/>
      <c r="R524" s="111"/>
      <c r="S524" s="18">
        <f>P534+R524</f>
        <v>-1459</v>
      </c>
      <c r="T524" s="173"/>
      <c r="U524" s="173"/>
      <c r="V524" s="50">
        <f>S534+U524</f>
        <v>-1459</v>
      </c>
      <c r="W524" s="172"/>
    </row>
    <row r="525" spans="1:23" ht="15.75" customHeight="1">
      <c r="A525" s="114"/>
      <c r="B525" s="118"/>
      <c r="C525" s="117"/>
      <c r="D525" s="19">
        <f t="shared" ref="D525:D534" si="308">D524+C525</f>
        <v>-1459</v>
      </c>
      <c r="E525" s="106"/>
      <c r="F525" s="107"/>
      <c r="G525" s="26">
        <f t="shared" ref="G525:G534" si="309">G524+F525</f>
        <v>-1459</v>
      </c>
      <c r="H525" s="133"/>
      <c r="I525" s="117"/>
      <c r="J525" s="19">
        <f t="shared" ref="J525:J534" si="310">J524+I525</f>
        <v>-1459</v>
      </c>
      <c r="K525" s="106"/>
      <c r="L525" s="107"/>
      <c r="M525" s="26">
        <f t="shared" ref="M525:M534" si="311">M524+L525</f>
        <v>-1459</v>
      </c>
      <c r="N525" s="118"/>
      <c r="O525" s="117"/>
      <c r="P525" s="38">
        <f t="shared" ref="P525:P534" si="312">P524+O525</f>
        <v>-1459</v>
      </c>
      <c r="Q525" s="106"/>
      <c r="R525" s="107"/>
      <c r="S525" s="26">
        <f t="shared" ref="S525:S534" si="313">S524+R525</f>
        <v>-1459</v>
      </c>
      <c r="T525" s="136"/>
      <c r="U525" s="136"/>
      <c r="V525" s="45">
        <f t="shared" ref="V525:V534" si="314">V524+U525</f>
        <v>-1459</v>
      </c>
      <c r="W525" s="143"/>
    </row>
    <row r="526" spans="1:23" ht="15.75" customHeight="1">
      <c r="A526" s="114"/>
      <c r="B526" s="118"/>
      <c r="C526" s="117"/>
      <c r="D526" s="19">
        <f t="shared" si="308"/>
        <v>-1459</v>
      </c>
      <c r="E526" s="106"/>
      <c r="F526" s="107"/>
      <c r="G526" s="26">
        <f t="shared" si="309"/>
        <v>-1459</v>
      </c>
      <c r="H526" s="133"/>
      <c r="I526" s="117"/>
      <c r="J526" s="19">
        <f t="shared" si="310"/>
        <v>-1459</v>
      </c>
      <c r="K526" s="106"/>
      <c r="L526" s="107"/>
      <c r="M526" s="26">
        <f t="shared" si="311"/>
        <v>-1459</v>
      </c>
      <c r="N526" s="117"/>
      <c r="O526" s="117"/>
      <c r="P526" s="38">
        <f t="shared" si="312"/>
        <v>-1459</v>
      </c>
      <c r="Q526" s="106"/>
      <c r="R526" s="107"/>
      <c r="S526" s="26">
        <f t="shared" si="313"/>
        <v>-1459</v>
      </c>
      <c r="T526" s="136"/>
      <c r="U526" s="136"/>
      <c r="V526" s="45">
        <f t="shared" si="314"/>
        <v>-1459</v>
      </c>
      <c r="W526" s="143"/>
    </row>
    <row r="527" spans="1:23" ht="15.75" customHeight="1">
      <c r="A527" s="114"/>
      <c r="B527" s="118"/>
      <c r="C527" s="117"/>
      <c r="D527" s="19">
        <f t="shared" si="308"/>
        <v>-1459</v>
      </c>
      <c r="E527" s="106"/>
      <c r="F527" s="107"/>
      <c r="G527" s="26">
        <f t="shared" si="309"/>
        <v>-1459</v>
      </c>
      <c r="H527" s="133"/>
      <c r="I527" s="117"/>
      <c r="J527" s="19">
        <f t="shared" si="310"/>
        <v>-1459</v>
      </c>
      <c r="K527" s="106"/>
      <c r="L527" s="107"/>
      <c r="M527" s="26">
        <f t="shared" si="311"/>
        <v>-1459</v>
      </c>
      <c r="N527" s="117"/>
      <c r="O527" s="117"/>
      <c r="P527" s="38">
        <f t="shared" si="312"/>
        <v>-1459</v>
      </c>
      <c r="Q527" s="106"/>
      <c r="R527" s="107"/>
      <c r="S527" s="26">
        <f t="shared" si="313"/>
        <v>-1459</v>
      </c>
      <c r="T527" s="136"/>
      <c r="U527" s="136"/>
      <c r="V527" s="45">
        <f t="shared" si="314"/>
        <v>-1459</v>
      </c>
      <c r="W527" s="143"/>
    </row>
    <row r="528" spans="1:23" ht="15.75" customHeight="1">
      <c r="A528" s="114"/>
      <c r="B528" s="118"/>
      <c r="C528" s="117"/>
      <c r="D528" s="19">
        <f t="shared" si="308"/>
        <v>-1459</v>
      </c>
      <c r="E528" s="106"/>
      <c r="F528" s="107"/>
      <c r="G528" s="26">
        <f t="shared" si="309"/>
        <v>-1459</v>
      </c>
      <c r="H528" s="133"/>
      <c r="I528" s="117"/>
      <c r="J528" s="19">
        <f t="shared" si="310"/>
        <v>-1459</v>
      </c>
      <c r="K528" s="106"/>
      <c r="L528" s="107"/>
      <c r="M528" s="26">
        <f t="shared" si="311"/>
        <v>-1459</v>
      </c>
      <c r="N528" s="117"/>
      <c r="O528" s="117"/>
      <c r="P528" s="38">
        <f t="shared" si="312"/>
        <v>-1459</v>
      </c>
      <c r="Q528" s="106"/>
      <c r="R528" s="107"/>
      <c r="S528" s="26">
        <f t="shared" si="313"/>
        <v>-1459</v>
      </c>
      <c r="T528" s="136"/>
      <c r="U528" s="136"/>
      <c r="V528" s="45">
        <f t="shared" si="314"/>
        <v>-1459</v>
      </c>
      <c r="W528" s="143"/>
    </row>
    <row r="529" spans="1:23" ht="15.75" customHeight="1">
      <c r="A529" s="114"/>
      <c r="B529" s="118"/>
      <c r="C529" s="117"/>
      <c r="D529" s="19">
        <f t="shared" si="308"/>
        <v>-1459</v>
      </c>
      <c r="E529" s="106"/>
      <c r="F529" s="107"/>
      <c r="G529" s="26">
        <f t="shared" si="309"/>
        <v>-1459</v>
      </c>
      <c r="H529" s="133"/>
      <c r="I529" s="117"/>
      <c r="J529" s="19">
        <f t="shared" si="310"/>
        <v>-1459</v>
      </c>
      <c r="K529" s="106"/>
      <c r="L529" s="107"/>
      <c r="M529" s="26">
        <f t="shared" si="311"/>
        <v>-1459</v>
      </c>
      <c r="N529" s="117"/>
      <c r="O529" s="117"/>
      <c r="P529" s="38">
        <f t="shared" si="312"/>
        <v>-1459</v>
      </c>
      <c r="Q529" s="106"/>
      <c r="R529" s="107"/>
      <c r="S529" s="26">
        <f t="shared" si="313"/>
        <v>-1459</v>
      </c>
      <c r="T529" s="136"/>
      <c r="U529" s="136"/>
      <c r="V529" s="45">
        <f t="shared" si="314"/>
        <v>-1459</v>
      </c>
      <c r="W529" s="143"/>
    </row>
    <row r="530" spans="1:23" ht="15.75" customHeight="1">
      <c r="A530" s="114"/>
      <c r="B530" s="117"/>
      <c r="C530" s="117"/>
      <c r="D530" s="19">
        <f t="shared" si="308"/>
        <v>-1459</v>
      </c>
      <c r="E530" s="106"/>
      <c r="F530" s="107"/>
      <c r="G530" s="26">
        <f t="shared" si="309"/>
        <v>-1459</v>
      </c>
      <c r="H530" s="133"/>
      <c r="I530" s="117"/>
      <c r="J530" s="19">
        <f t="shared" si="310"/>
        <v>-1459</v>
      </c>
      <c r="K530" s="106"/>
      <c r="L530" s="107"/>
      <c r="M530" s="26">
        <f t="shared" si="311"/>
        <v>-1459</v>
      </c>
      <c r="N530" s="117"/>
      <c r="O530" s="117"/>
      <c r="P530" s="38">
        <f t="shared" si="312"/>
        <v>-1459</v>
      </c>
      <c r="Q530" s="106"/>
      <c r="R530" s="107"/>
      <c r="S530" s="26">
        <f t="shared" si="313"/>
        <v>-1459</v>
      </c>
      <c r="T530" s="136"/>
      <c r="U530" s="136"/>
      <c r="V530" s="45">
        <f t="shared" si="314"/>
        <v>-1459</v>
      </c>
      <c r="W530" s="143"/>
    </row>
    <row r="531" spans="1:23" ht="15.75" customHeight="1">
      <c r="A531" s="114"/>
      <c r="B531" s="117"/>
      <c r="C531" s="117"/>
      <c r="D531" s="19">
        <f t="shared" si="308"/>
        <v>-1459</v>
      </c>
      <c r="E531" s="106"/>
      <c r="F531" s="107"/>
      <c r="G531" s="26">
        <f t="shared" si="309"/>
        <v>-1459</v>
      </c>
      <c r="H531" s="133"/>
      <c r="I531" s="117"/>
      <c r="J531" s="19">
        <f t="shared" si="310"/>
        <v>-1459</v>
      </c>
      <c r="K531" s="106"/>
      <c r="L531" s="107"/>
      <c r="M531" s="26">
        <f t="shared" si="311"/>
        <v>-1459</v>
      </c>
      <c r="N531" s="117"/>
      <c r="O531" s="117"/>
      <c r="P531" s="38">
        <f t="shared" si="312"/>
        <v>-1459</v>
      </c>
      <c r="Q531" s="106"/>
      <c r="R531" s="107"/>
      <c r="S531" s="26">
        <f t="shared" si="313"/>
        <v>-1459</v>
      </c>
      <c r="T531" s="136"/>
      <c r="U531" s="136"/>
      <c r="V531" s="45">
        <f t="shared" si="314"/>
        <v>-1459</v>
      </c>
      <c r="W531" s="143"/>
    </row>
    <row r="532" spans="1:23" ht="15.75" customHeight="1">
      <c r="A532" s="114"/>
      <c r="B532" s="117"/>
      <c r="C532" s="117"/>
      <c r="D532" s="19">
        <f t="shared" si="308"/>
        <v>-1459</v>
      </c>
      <c r="E532" s="106"/>
      <c r="F532" s="107"/>
      <c r="G532" s="26">
        <f t="shared" si="309"/>
        <v>-1459</v>
      </c>
      <c r="H532" s="133"/>
      <c r="I532" s="117"/>
      <c r="J532" s="19">
        <f t="shared" si="310"/>
        <v>-1459</v>
      </c>
      <c r="K532" s="106"/>
      <c r="L532" s="107"/>
      <c r="M532" s="26">
        <f t="shared" si="311"/>
        <v>-1459</v>
      </c>
      <c r="N532" s="117"/>
      <c r="O532" s="117"/>
      <c r="P532" s="38">
        <f t="shared" si="312"/>
        <v>-1459</v>
      </c>
      <c r="Q532" s="106"/>
      <c r="R532" s="107"/>
      <c r="S532" s="26">
        <f t="shared" si="313"/>
        <v>-1459</v>
      </c>
      <c r="T532" s="136"/>
      <c r="U532" s="136"/>
      <c r="V532" s="45">
        <f t="shared" si="314"/>
        <v>-1459</v>
      </c>
      <c r="W532" s="143"/>
    </row>
    <row r="533" spans="1:23" ht="15.75" customHeight="1">
      <c r="A533" s="114"/>
      <c r="B533" s="117"/>
      <c r="C533" s="117"/>
      <c r="D533" s="19">
        <f t="shared" si="308"/>
        <v>-1459</v>
      </c>
      <c r="E533" s="122"/>
      <c r="F533" s="123"/>
      <c r="G533" s="26">
        <f t="shared" si="309"/>
        <v>-1459</v>
      </c>
      <c r="H533" s="133"/>
      <c r="I533" s="117"/>
      <c r="J533" s="19">
        <f t="shared" si="310"/>
        <v>-1459</v>
      </c>
      <c r="K533" s="122"/>
      <c r="L533" s="123"/>
      <c r="M533" s="26">
        <f t="shared" si="311"/>
        <v>-1459</v>
      </c>
      <c r="N533" s="117"/>
      <c r="O533" s="117"/>
      <c r="P533" s="38">
        <f t="shared" si="312"/>
        <v>-1459</v>
      </c>
      <c r="Q533" s="122"/>
      <c r="R533" s="123"/>
      <c r="S533" s="26">
        <f t="shared" si="313"/>
        <v>-1459</v>
      </c>
      <c r="T533" s="136"/>
      <c r="U533" s="136"/>
      <c r="V533" s="45">
        <f t="shared" si="314"/>
        <v>-1459</v>
      </c>
      <c r="W533" s="143"/>
    </row>
    <row r="534" spans="1:23" ht="15.75" customHeight="1">
      <c r="A534" s="114"/>
      <c r="B534" s="128"/>
      <c r="C534" s="128"/>
      <c r="D534" s="29">
        <f t="shared" si="308"/>
        <v>-1459</v>
      </c>
      <c r="E534" s="122"/>
      <c r="F534" s="123"/>
      <c r="G534" s="53">
        <f t="shared" si="309"/>
        <v>-1459</v>
      </c>
      <c r="H534" s="140"/>
      <c r="I534" s="128"/>
      <c r="J534" s="29">
        <f t="shared" si="310"/>
        <v>-1459</v>
      </c>
      <c r="K534" s="122"/>
      <c r="L534" s="123"/>
      <c r="M534" s="39">
        <f t="shared" si="311"/>
        <v>-1459</v>
      </c>
      <c r="N534" s="128"/>
      <c r="O534" s="128"/>
      <c r="P534" s="40">
        <f t="shared" si="312"/>
        <v>-1459</v>
      </c>
      <c r="Q534" s="122"/>
      <c r="R534" s="123"/>
      <c r="S534" s="39">
        <f t="shared" si="313"/>
        <v>-1459</v>
      </c>
      <c r="T534" s="141"/>
      <c r="U534" s="141"/>
      <c r="V534" s="46">
        <f t="shared" si="314"/>
        <v>-1459</v>
      </c>
      <c r="W534" s="143"/>
    </row>
    <row r="535" spans="1:23" ht="15.75" customHeight="1">
      <c r="A535" s="87"/>
      <c r="B535" s="77">
        <f ca="1">IFERROR(__xludf.DUMMYFUNCTION("DATE(VALUE(LEFT($B$2,4)),VALUE(MID($B$2,6,2)),VALUE(RIGHT($B$2,2)))
+ (VALUE(REGEXEXTRACT(INDIRECT(""A""&amp;ROW()+1),""\d+""))-1)*7
+ INT((COLUMN()-COLUMN($B535))/3)
"),46334)</f>
        <v>46334</v>
      </c>
      <c r="C535" s="81"/>
      <c r="D535" s="82"/>
      <c r="E535" s="77">
        <f ca="1">IFERROR(__xludf.DUMMYFUNCTION("DATE(VALUE(LEFT($B$2,4)),VALUE(MID($B$2,6,2)),VALUE(RIGHT($B$2,2)))
+ (VALUE(REGEXEXTRACT(INDIRECT(""A""&amp;ROW()+1),""\d+""))-1)*7
+ INT((COLUMN()-COLUMN($B535))/3)
"),46335)</f>
        <v>46335</v>
      </c>
      <c r="F535" s="81"/>
      <c r="G535" s="82"/>
      <c r="H535" s="77">
        <f ca="1">IFERROR(__xludf.DUMMYFUNCTION("DATE(VALUE(LEFT($B$2,4)),VALUE(MID($B$2,6,2)),VALUE(RIGHT($B$2,2)))
+ (VALUE(REGEXEXTRACT(INDIRECT(""A""&amp;ROW()+1),""\d+""))-1)*7
+ INT((COLUMN()-COLUMN($B535))/3)
"),46336)</f>
        <v>46336</v>
      </c>
      <c r="I535" s="81"/>
      <c r="J535" s="82"/>
      <c r="K535" s="77">
        <f ca="1">IFERROR(__xludf.DUMMYFUNCTION("DATE(VALUE(LEFT($B$2,4)),VALUE(MID($B$2,6,2)),VALUE(RIGHT($B$2,2)))
+ (VALUE(REGEXEXTRACT(INDIRECT(""A""&amp;ROW()+1),""\d+""))-1)*7
+ INT((COLUMN()-COLUMN($B535))/3)
"),46337)</f>
        <v>46337</v>
      </c>
      <c r="L535" s="81"/>
      <c r="M535" s="82"/>
      <c r="N535" s="77">
        <f ca="1">IFERROR(__xludf.DUMMYFUNCTION("DATE(VALUE(LEFT($B$2,4)),VALUE(MID($B$2,6,2)),VALUE(RIGHT($B$2,2)))
+ (VALUE(REGEXEXTRACT(INDIRECT(""A""&amp;ROW()+1),""\d+""))-1)*7
+ INT((COLUMN()-COLUMN($B535))/3)
"),46338)</f>
        <v>46338</v>
      </c>
      <c r="O535" s="81"/>
      <c r="P535" s="82"/>
      <c r="Q535" s="77">
        <f ca="1">IFERROR(__xludf.DUMMYFUNCTION("DATE(VALUE(LEFT($B$2,4)),VALUE(MID($B$2,6,2)),VALUE(RIGHT($B$2,2)))
+ (VALUE(REGEXEXTRACT(INDIRECT(""A""&amp;ROW()+1),""\d+""))-1)*7
+ INT((COLUMN()-COLUMN($B535))/3)
"),46339)</f>
        <v>46339</v>
      </c>
      <c r="R535" s="81"/>
      <c r="S535" s="82"/>
      <c r="T535" s="77">
        <f ca="1">IFERROR(__xludf.DUMMYFUNCTION("DATE(VALUE(LEFT($B$2,4)),VALUE(MID($B$2,6,2)),VALUE(RIGHT($B$2,2)))
+ (VALUE(REGEXEXTRACT(INDIRECT(""A""&amp;ROW()+1),""\d+""))-1)*7
+ INT((COLUMN()-COLUMN($B535))/3)
"),46340)</f>
        <v>46340</v>
      </c>
      <c r="U535" s="81"/>
      <c r="V535" s="82"/>
      <c r="W535" s="143"/>
    </row>
    <row r="536" spans="1:23" ht="15.75" customHeight="1">
      <c r="A536" s="51" t="s">
        <v>174</v>
      </c>
      <c r="B536" s="112"/>
      <c r="C536" s="111"/>
      <c r="D536" s="17">
        <f>V534+C536</f>
        <v>-1459</v>
      </c>
      <c r="E536" s="109"/>
      <c r="F536" s="109"/>
      <c r="G536" s="54">
        <f>D546+F536</f>
        <v>-1459</v>
      </c>
      <c r="H536" s="110"/>
      <c r="I536" s="111"/>
      <c r="J536" s="17">
        <f>G546+I536</f>
        <v>-1459</v>
      </c>
      <c r="K536" s="109"/>
      <c r="L536" s="109"/>
      <c r="M536" s="35">
        <f>J546+L536</f>
        <v>-1459</v>
      </c>
      <c r="N536" s="112"/>
      <c r="O536" s="111"/>
      <c r="P536" s="17">
        <f>M546+O536</f>
        <v>-1459</v>
      </c>
      <c r="Q536" s="109"/>
      <c r="R536" s="109"/>
      <c r="S536" s="35">
        <f>P546+R536</f>
        <v>-1459</v>
      </c>
      <c r="T536" s="112"/>
      <c r="U536" s="111"/>
      <c r="V536" s="48">
        <f>S546+U536</f>
        <v>-1459</v>
      </c>
      <c r="W536" s="143"/>
    </row>
    <row r="537" spans="1:23" ht="15.75" customHeight="1">
      <c r="A537" s="114"/>
      <c r="B537" s="106"/>
      <c r="C537" s="107"/>
      <c r="D537" s="26">
        <f t="shared" ref="D537:D546" si="315">D536+C537</f>
        <v>-1459</v>
      </c>
      <c r="E537" s="117"/>
      <c r="F537" s="117"/>
      <c r="G537" s="19">
        <f t="shared" ref="G537:G546" si="316">G536+F537</f>
        <v>-1459</v>
      </c>
      <c r="H537" s="116"/>
      <c r="I537" s="107"/>
      <c r="J537" s="26">
        <f t="shared" ref="J537:J546" si="317">J536+I537</f>
        <v>-1459</v>
      </c>
      <c r="K537" s="117"/>
      <c r="L537" s="117"/>
      <c r="M537" s="38">
        <f t="shared" ref="M537:M546" si="318">M536+L537</f>
        <v>-1459</v>
      </c>
      <c r="N537" s="106"/>
      <c r="O537" s="107"/>
      <c r="P537" s="26">
        <f t="shared" ref="P537:P546" si="319">P536+O537</f>
        <v>-1459</v>
      </c>
      <c r="Q537" s="117"/>
      <c r="R537" s="117"/>
      <c r="S537" s="38">
        <f t="shared" ref="S537:S546" si="320">S536+R537</f>
        <v>-1459</v>
      </c>
      <c r="T537" s="106"/>
      <c r="U537" s="107"/>
      <c r="V537" s="20">
        <f t="shared" ref="V537:V546" si="321">V536+U537</f>
        <v>-1459</v>
      </c>
      <c r="W537" s="143"/>
    </row>
    <row r="538" spans="1:23" ht="15.75" customHeight="1">
      <c r="A538" s="114"/>
      <c r="B538" s="106"/>
      <c r="C538" s="107"/>
      <c r="D538" s="26">
        <f t="shared" si="315"/>
        <v>-1459</v>
      </c>
      <c r="E538" s="117"/>
      <c r="F538" s="117"/>
      <c r="G538" s="19">
        <f t="shared" si="316"/>
        <v>-1459</v>
      </c>
      <c r="H538" s="116"/>
      <c r="I538" s="107"/>
      <c r="J538" s="26">
        <f t="shared" si="317"/>
        <v>-1459</v>
      </c>
      <c r="K538" s="117"/>
      <c r="L538" s="117"/>
      <c r="M538" s="38">
        <f t="shared" si="318"/>
        <v>-1459</v>
      </c>
      <c r="N538" s="106"/>
      <c r="O538" s="107"/>
      <c r="P538" s="26">
        <f t="shared" si="319"/>
        <v>-1459</v>
      </c>
      <c r="Q538" s="117"/>
      <c r="R538" s="117"/>
      <c r="S538" s="38">
        <f t="shared" si="320"/>
        <v>-1459</v>
      </c>
      <c r="T538" s="106"/>
      <c r="U538" s="116"/>
      <c r="V538" s="20">
        <f t="shared" si="321"/>
        <v>-1459</v>
      </c>
      <c r="W538" s="143"/>
    </row>
    <row r="539" spans="1:23" ht="15.75" customHeight="1">
      <c r="A539" s="114"/>
      <c r="B539" s="106"/>
      <c r="C539" s="107"/>
      <c r="D539" s="26">
        <f t="shared" si="315"/>
        <v>-1459</v>
      </c>
      <c r="E539" s="117"/>
      <c r="F539" s="117"/>
      <c r="G539" s="19">
        <f t="shared" si="316"/>
        <v>-1459</v>
      </c>
      <c r="H539" s="116"/>
      <c r="I539" s="107"/>
      <c r="J539" s="26">
        <f t="shared" si="317"/>
        <v>-1459</v>
      </c>
      <c r="K539" s="117"/>
      <c r="L539" s="117"/>
      <c r="M539" s="38">
        <f t="shared" si="318"/>
        <v>-1459</v>
      </c>
      <c r="N539" s="106"/>
      <c r="O539" s="107"/>
      <c r="P539" s="26">
        <f t="shared" si="319"/>
        <v>-1459</v>
      </c>
      <c r="Q539" s="117"/>
      <c r="R539" s="117"/>
      <c r="S539" s="38">
        <f t="shared" si="320"/>
        <v>-1459</v>
      </c>
      <c r="T539" s="106"/>
      <c r="U539" s="116"/>
      <c r="V539" s="20">
        <f t="shared" si="321"/>
        <v>-1459</v>
      </c>
      <c r="W539" s="143"/>
    </row>
    <row r="540" spans="1:23" ht="15.75" customHeight="1">
      <c r="A540" s="114"/>
      <c r="B540" s="106"/>
      <c r="C540" s="107"/>
      <c r="D540" s="26">
        <f t="shared" si="315"/>
        <v>-1459</v>
      </c>
      <c r="E540" s="117"/>
      <c r="F540" s="117"/>
      <c r="G540" s="19">
        <f t="shared" si="316"/>
        <v>-1459</v>
      </c>
      <c r="H540" s="116"/>
      <c r="I540" s="107"/>
      <c r="J540" s="26">
        <f t="shared" si="317"/>
        <v>-1459</v>
      </c>
      <c r="K540" s="117"/>
      <c r="L540" s="117"/>
      <c r="M540" s="38">
        <f t="shared" si="318"/>
        <v>-1459</v>
      </c>
      <c r="N540" s="106"/>
      <c r="O540" s="107"/>
      <c r="P540" s="26">
        <f t="shared" si="319"/>
        <v>-1459</v>
      </c>
      <c r="Q540" s="117"/>
      <c r="R540" s="117"/>
      <c r="S540" s="38">
        <f t="shared" si="320"/>
        <v>-1459</v>
      </c>
      <c r="T540" s="106"/>
      <c r="U540" s="116"/>
      <c r="V540" s="20">
        <f t="shared" si="321"/>
        <v>-1459</v>
      </c>
      <c r="W540" s="143"/>
    </row>
    <row r="541" spans="1:23" ht="15.75" customHeight="1">
      <c r="A541" s="114"/>
      <c r="B541" s="106"/>
      <c r="C541" s="107"/>
      <c r="D541" s="26">
        <f t="shared" si="315"/>
        <v>-1459</v>
      </c>
      <c r="E541" s="117"/>
      <c r="F541" s="117"/>
      <c r="G541" s="19">
        <f t="shared" si="316"/>
        <v>-1459</v>
      </c>
      <c r="H541" s="116"/>
      <c r="I541" s="107"/>
      <c r="J541" s="26">
        <f t="shared" si="317"/>
        <v>-1459</v>
      </c>
      <c r="K541" s="117"/>
      <c r="L541" s="117"/>
      <c r="M541" s="38">
        <f t="shared" si="318"/>
        <v>-1459</v>
      </c>
      <c r="N541" s="106"/>
      <c r="O541" s="107"/>
      <c r="P541" s="26">
        <f t="shared" si="319"/>
        <v>-1459</v>
      </c>
      <c r="Q541" s="117"/>
      <c r="R541" s="117"/>
      <c r="S541" s="38">
        <f t="shared" si="320"/>
        <v>-1459</v>
      </c>
      <c r="T541" s="106"/>
      <c r="U541" s="116"/>
      <c r="V541" s="20">
        <f t="shared" si="321"/>
        <v>-1459</v>
      </c>
      <c r="W541" s="143"/>
    </row>
    <row r="542" spans="1:23" ht="15.75" customHeight="1">
      <c r="A542" s="114"/>
      <c r="B542" s="106"/>
      <c r="C542" s="107"/>
      <c r="D542" s="26">
        <f t="shared" si="315"/>
        <v>-1459</v>
      </c>
      <c r="E542" s="117"/>
      <c r="F542" s="117"/>
      <c r="G542" s="19">
        <f t="shared" si="316"/>
        <v>-1459</v>
      </c>
      <c r="H542" s="116"/>
      <c r="I542" s="107"/>
      <c r="J542" s="26">
        <f t="shared" si="317"/>
        <v>-1459</v>
      </c>
      <c r="K542" s="117"/>
      <c r="L542" s="117"/>
      <c r="M542" s="38">
        <f t="shared" si="318"/>
        <v>-1459</v>
      </c>
      <c r="N542" s="106"/>
      <c r="O542" s="107"/>
      <c r="P542" s="26">
        <f t="shared" si="319"/>
        <v>-1459</v>
      </c>
      <c r="Q542" s="117"/>
      <c r="R542" s="117"/>
      <c r="S542" s="38">
        <f t="shared" si="320"/>
        <v>-1459</v>
      </c>
      <c r="T542" s="106"/>
      <c r="U542" s="116"/>
      <c r="V542" s="20">
        <f t="shared" si="321"/>
        <v>-1459</v>
      </c>
      <c r="W542" s="143"/>
    </row>
    <row r="543" spans="1:23" ht="15.75" customHeight="1">
      <c r="A543" s="114"/>
      <c r="B543" s="106"/>
      <c r="C543" s="107"/>
      <c r="D543" s="26">
        <f t="shared" si="315"/>
        <v>-1459</v>
      </c>
      <c r="E543" s="117"/>
      <c r="F543" s="117"/>
      <c r="G543" s="19">
        <f t="shared" si="316"/>
        <v>-1459</v>
      </c>
      <c r="H543" s="116"/>
      <c r="I543" s="107"/>
      <c r="J543" s="26">
        <f t="shared" si="317"/>
        <v>-1459</v>
      </c>
      <c r="K543" s="117"/>
      <c r="L543" s="117"/>
      <c r="M543" s="38">
        <f t="shared" si="318"/>
        <v>-1459</v>
      </c>
      <c r="N543" s="106"/>
      <c r="O543" s="107"/>
      <c r="P543" s="26">
        <f t="shared" si="319"/>
        <v>-1459</v>
      </c>
      <c r="Q543" s="117"/>
      <c r="R543" s="117"/>
      <c r="S543" s="38">
        <f t="shared" si="320"/>
        <v>-1459</v>
      </c>
      <c r="T543" s="106"/>
      <c r="U543" s="116"/>
      <c r="V543" s="20">
        <f t="shared" si="321"/>
        <v>-1459</v>
      </c>
      <c r="W543" s="143"/>
    </row>
    <row r="544" spans="1:23" ht="15.75" customHeight="1">
      <c r="A544" s="114"/>
      <c r="B544" s="122"/>
      <c r="C544" s="123"/>
      <c r="D544" s="26">
        <f t="shared" si="315"/>
        <v>-1459</v>
      </c>
      <c r="E544" s="117"/>
      <c r="F544" s="117"/>
      <c r="G544" s="19">
        <f t="shared" si="316"/>
        <v>-1459</v>
      </c>
      <c r="H544" s="124"/>
      <c r="I544" s="123"/>
      <c r="J544" s="26">
        <f t="shared" si="317"/>
        <v>-1459</v>
      </c>
      <c r="K544" s="117"/>
      <c r="L544" s="117"/>
      <c r="M544" s="38">
        <f t="shared" si="318"/>
        <v>-1459</v>
      </c>
      <c r="N544" s="122"/>
      <c r="O544" s="123"/>
      <c r="P544" s="26">
        <f t="shared" si="319"/>
        <v>-1459</v>
      </c>
      <c r="Q544" s="117"/>
      <c r="R544" s="117"/>
      <c r="S544" s="38">
        <f t="shared" si="320"/>
        <v>-1459</v>
      </c>
      <c r="T544" s="106"/>
      <c r="U544" s="116"/>
      <c r="V544" s="20">
        <f t="shared" si="321"/>
        <v>-1459</v>
      </c>
      <c r="W544" s="143"/>
    </row>
    <row r="545" spans="1:23" ht="15.75" customHeight="1">
      <c r="A545" s="114"/>
      <c r="B545" s="122"/>
      <c r="C545" s="123"/>
      <c r="D545" s="26">
        <f t="shared" si="315"/>
        <v>-1459</v>
      </c>
      <c r="E545" s="117"/>
      <c r="F545" s="117"/>
      <c r="G545" s="19">
        <f t="shared" si="316"/>
        <v>-1459</v>
      </c>
      <c r="H545" s="124"/>
      <c r="I545" s="123"/>
      <c r="J545" s="26">
        <f t="shared" si="317"/>
        <v>-1459</v>
      </c>
      <c r="K545" s="117"/>
      <c r="L545" s="117"/>
      <c r="M545" s="38">
        <f t="shared" si="318"/>
        <v>-1459</v>
      </c>
      <c r="N545" s="122"/>
      <c r="O545" s="123"/>
      <c r="P545" s="26">
        <f t="shared" si="319"/>
        <v>-1459</v>
      </c>
      <c r="Q545" s="117"/>
      <c r="R545" s="117"/>
      <c r="S545" s="38">
        <f t="shared" si="320"/>
        <v>-1459</v>
      </c>
      <c r="T545" s="122"/>
      <c r="U545" s="124"/>
      <c r="V545" s="20">
        <f t="shared" si="321"/>
        <v>-1459</v>
      </c>
      <c r="W545" s="143"/>
    </row>
    <row r="546" spans="1:23" ht="15.75" customHeight="1">
      <c r="A546" s="114"/>
      <c r="B546" s="122"/>
      <c r="C546" s="123"/>
      <c r="D546" s="39">
        <f t="shared" si="315"/>
        <v>-1459</v>
      </c>
      <c r="E546" s="128"/>
      <c r="F546" s="128"/>
      <c r="G546" s="55">
        <f t="shared" si="316"/>
        <v>-1459</v>
      </c>
      <c r="H546" s="124"/>
      <c r="I546" s="123"/>
      <c r="J546" s="39">
        <f t="shared" si="317"/>
        <v>-1459</v>
      </c>
      <c r="K546" s="128"/>
      <c r="L546" s="128"/>
      <c r="M546" s="40">
        <f t="shared" si="318"/>
        <v>-1459</v>
      </c>
      <c r="N546" s="122"/>
      <c r="O546" s="123"/>
      <c r="P546" s="39">
        <f t="shared" si="319"/>
        <v>-1459</v>
      </c>
      <c r="Q546" s="128"/>
      <c r="R546" s="128"/>
      <c r="S546" s="40">
        <f t="shared" si="320"/>
        <v>-1459</v>
      </c>
      <c r="T546" s="122"/>
      <c r="U546" s="123"/>
      <c r="V546" s="49">
        <f t="shared" si="321"/>
        <v>-1459</v>
      </c>
      <c r="W546" s="143"/>
    </row>
    <row r="547" spans="1:23" ht="15.75" customHeight="1">
      <c r="A547" s="87"/>
      <c r="B547" s="77">
        <f ca="1">IFERROR(__xludf.DUMMYFUNCTION("DATE(VALUE(LEFT($B$2,4)),VALUE(MID($B$2,6,2)),VALUE(RIGHT($B$2,2)))
+ (VALUE(REGEXEXTRACT(INDIRECT(""A""&amp;ROW()+1),""\d+""))-1)*7
+ INT((COLUMN()-COLUMN($B547))/3)
"),46341)</f>
        <v>46341</v>
      </c>
      <c r="C547" s="81"/>
      <c r="D547" s="82"/>
      <c r="E547" s="77">
        <f ca="1">IFERROR(__xludf.DUMMYFUNCTION("DATE(VALUE(LEFT($B$2,4)),VALUE(MID($B$2,6,2)),VALUE(RIGHT($B$2,2)))
+ (VALUE(REGEXEXTRACT(INDIRECT(""A""&amp;ROW()+1),""\d+""))-1)*7
+ INT((COLUMN()-COLUMN($B547))/3)
"),46342)</f>
        <v>46342</v>
      </c>
      <c r="F547" s="81"/>
      <c r="G547" s="82"/>
      <c r="H547" s="77">
        <f ca="1">IFERROR(__xludf.DUMMYFUNCTION("DATE(VALUE(LEFT($B$2,4)),VALUE(MID($B$2,6,2)),VALUE(RIGHT($B$2,2)))
+ (VALUE(REGEXEXTRACT(INDIRECT(""A""&amp;ROW()+1),""\d+""))-1)*7
+ INT((COLUMN()-COLUMN($B547))/3)
"),46343)</f>
        <v>46343</v>
      </c>
      <c r="I547" s="81"/>
      <c r="J547" s="82"/>
      <c r="K547" s="77">
        <f ca="1">IFERROR(__xludf.DUMMYFUNCTION("DATE(VALUE(LEFT($B$2,4)),VALUE(MID($B$2,6,2)),VALUE(RIGHT($B$2,2)))
+ (VALUE(REGEXEXTRACT(INDIRECT(""A""&amp;ROW()+1),""\d+""))-1)*7
+ INT((COLUMN()-COLUMN($B547))/3)
"),46344)</f>
        <v>46344</v>
      </c>
      <c r="L547" s="81"/>
      <c r="M547" s="82"/>
      <c r="N547" s="77">
        <f ca="1">IFERROR(__xludf.DUMMYFUNCTION("DATE(VALUE(LEFT($B$2,4)),VALUE(MID($B$2,6,2)),VALUE(RIGHT($B$2,2)))
+ (VALUE(REGEXEXTRACT(INDIRECT(""A""&amp;ROW()+1),""\d+""))-1)*7
+ INT((COLUMN()-COLUMN($B547))/3)
"),46345)</f>
        <v>46345</v>
      </c>
      <c r="O547" s="81"/>
      <c r="P547" s="82"/>
      <c r="Q547" s="77">
        <f ca="1">IFERROR(__xludf.DUMMYFUNCTION("DATE(VALUE(LEFT($B$2,4)),VALUE(MID($B$2,6,2)),VALUE(RIGHT($B$2,2)))
+ (VALUE(REGEXEXTRACT(INDIRECT(""A""&amp;ROW()+1),""\d+""))-1)*7
+ INT((COLUMN()-COLUMN($B547))/3)
"),46346)</f>
        <v>46346</v>
      </c>
      <c r="R547" s="81"/>
      <c r="S547" s="82"/>
      <c r="T547" s="77">
        <f ca="1">IFERROR(__xludf.DUMMYFUNCTION("DATE(VALUE(LEFT($B$2,4)),VALUE(MID($B$2,6,2)),VALUE(RIGHT($B$2,2)))
+ (VALUE(REGEXEXTRACT(INDIRECT(""A""&amp;ROW()+1),""\d+""))-1)*7
+ INT((COLUMN()-COLUMN($B547))/3)
"),46347)</f>
        <v>46347</v>
      </c>
      <c r="U547" s="81"/>
      <c r="V547" s="82"/>
      <c r="W547" s="52" t="s">
        <v>20</v>
      </c>
    </row>
    <row r="548" spans="1:23" ht="15.75" customHeight="1">
      <c r="A548" s="47" t="s">
        <v>175</v>
      </c>
      <c r="B548" s="109"/>
      <c r="C548" s="109"/>
      <c r="D548" s="42">
        <f>V546+C548</f>
        <v>-1459</v>
      </c>
      <c r="E548" s="112"/>
      <c r="F548" s="111"/>
      <c r="G548" s="36">
        <f>D558+F548</f>
        <v>-1459</v>
      </c>
      <c r="H548" s="132"/>
      <c r="I548" s="109"/>
      <c r="J548" s="42">
        <f>G558+I548</f>
        <v>-1459</v>
      </c>
      <c r="K548" s="112"/>
      <c r="L548" s="111"/>
      <c r="M548" s="18">
        <f>J558+L548</f>
        <v>-1459</v>
      </c>
      <c r="N548" s="113"/>
      <c r="O548" s="109"/>
      <c r="P548" s="35">
        <f>M558+O548</f>
        <v>-1459</v>
      </c>
      <c r="Q548" s="112"/>
      <c r="R548" s="111"/>
      <c r="S548" s="18">
        <f>P558+R548</f>
        <v>-1459</v>
      </c>
      <c r="T548" s="173"/>
      <c r="U548" s="173"/>
      <c r="V548" s="50">
        <f>S558+U548</f>
        <v>-1459</v>
      </c>
      <c r="W548" s="172"/>
    </row>
    <row r="549" spans="1:23" ht="15.75" customHeight="1">
      <c r="A549" s="114"/>
      <c r="B549" s="117"/>
      <c r="C549" s="117"/>
      <c r="D549" s="19">
        <f t="shared" ref="D549:D558" si="322">D548+C549</f>
        <v>-1459</v>
      </c>
      <c r="E549" s="106"/>
      <c r="F549" s="107"/>
      <c r="G549" s="26">
        <f t="shared" ref="G549:G558" si="323">G548+F549</f>
        <v>-1459</v>
      </c>
      <c r="H549" s="133"/>
      <c r="I549" s="117"/>
      <c r="J549" s="19">
        <f t="shared" ref="J549:J558" si="324">J548+I549</f>
        <v>-1459</v>
      </c>
      <c r="K549" s="106"/>
      <c r="L549" s="107"/>
      <c r="M549" s="26">
        <f t="shared" ref="M549:M558" si="325">M548+L549</f>
        <v>-1459</v>
      </c>
      <c r="N549" s="118"/>
      <c r="O549" s="117"/>
      <c r="P549" s="38">
        <f t="shared" ref="P549:P558" si="326">P548+O549</f>
        <v>-1459</v>
      </c>
      <c r="Q549" s="106"/>
      <c r="R549" s="107"/>
      <c r="S549" s="26">
        <f t="shared" ref="S549:S558" si="327">S548+R549</f>
        <v>-1459</v>
      </c>
      <c r="T549" s="136"/>
      <c r="U549" s="136"/>
      <c r="V549" s="45">
        <f t="shared" ref="V549:V558" si="328">V548+U549</f>
        <v>-1459</v>
      </c>
      <c r="W549" s="143"/>
    </row>
    <row r="550" spans="1:23" ht="15.75" customHeight="1">
      <c r="A550" s="114"/>
      <c r="B550" s="118"/>
      <c r="C550" s="117"/>
      <c r="D550" s="19">
        <f t="shared" si="322"/>
        <v>-1459</v>
      </c>
      <c r="E550" s="106"/>
      <c r="F550" s="107"/>
      <c r="G550" s="26">
        <f t="shared" si="323"/>
        <v>-1459</v>
      </c>
      <c r="H550" s="133"/>
      <c r="I550" s="117"/>
      <c r="J550" s="19">
        <f t="shared" si="324"/>
        <v>-1459</v>
      </c>
      <c r="K550" s="106"/>
      <c r="L550" s="107"/>
      <c r="M550" s="26">
        <f t="shared" si="325"/>
        <v>-1459</v>
      </c>
      <c r="N550" s="117"/>
      <c r="O550" s="117"/>
      <c r="P550" s="38">
        <f t="shared" si="326"/>
        <v>-1459</v>
      </c>
      <c r="Q550" s="106"/>
      <c r="R550" s="107"/>
      <c r="S550" s="26">
        <f t="shared" si="327"/>
        <v>-1459</v>
      </c>
      <c r="T550" s="136"/>
      <c r="U550" s="136"/>
      <c r="V550" s="45">
        <f t="shared" si="328"/>
        <v>-1459</v>
      </c>
      <c r="W550" s="143"/>
    </row>
    <row r="551" spans="1:23" ht="15.75" customHeight="1">
      <c r="A551" s="114"/>
      <c r="B551" s="118"/>
      <c r="C551" s="117"/>
      <c r="D551" s="19">
        <f t="shared" si="322"/>
        <v>-1459</v>
      </c>
      <c r="E551" s="106"/>
      <c r="F551" s="107"/>
      <c r="G551" s="26">
        <f t="shared" si="323"/>
        <v>-1459</v>
      </c>
      <c r="H551" s="133"/>
      <c r="I551" s="117"/>
      <c r="J551" s="19">
        <f t="shared" si="324"/>
        <v>-1459</v>
      </c>
      <c r="K551" s="106"/>
      <c r="L551" s="107"/>
      <c r="M551" s="26">
        <f t="shared" si="325"/>
        <v>-1459</v>
      </c>
      <c r="N551" s="117"/>
      <c r="O551" s="117"/>
      <c r="P551" s="38">
        <f t="shared" si="326"/>
        <v>-1459</v>
      </c>
      <c r="Q551" s="106"/>
      <c r="R551" s="107"/>
      <c r="S551" s="26">
        <f t="shared" si="327"/>
        <v>-1459</v>
      </c>
      <c r="T551" s="136"/>
      <c r="U551" s="136"/>
      <c r="V551" s="45">
        <f t="shared" si="328"/>
        <v>-1459</v>
      </c>
      <c r="W551" s="143"/>
    </row>
    <row r="552" spans="1:23" ht="15.75" customHeight="1">
      <c r="A552" s="114"/>
      <c r="B552" s="118"/>
      <c r="C552" s="117"/>
      <c r="D552" s="19">
        <f t="shared" si="322"/>
        <v>-1459</v>
      </c>
      <c r="E552" s="106"/>
      <c r="F552" s="107"/>
      <c r="G552" s="26">
        <f t="shared" si="323"/>
        <v>-1459</v>
      </c>
      <c r="H552" s="133"/>
      <c r="I552" s="117"/>
      <c r="J552" s="19">
        <f t="shared" si="324"/>
        <v>-1459</v>
      </c>
      <c r="K552" s="106"/>
      <c r="L552" s="107"/>
      <c r="M552" s="26">
        <f t="shared" si="325"/>
        <v>-1459</v>
      </c>
      <c r="N552" s="117"/>
      <c r="O552" s="117"/>
      <c r="P552" s="38">
        <f t="shared" si="326"/>
        <v>-1459</v>
      </c>
      <c r="Q552" s="106"/>
      <c r="R552" s="107"/>
      <c r="S552" s="26">
        <f t="shared" si="327"/>
        <v>-1459</v>
      </c>
      <c r="T552" s="136"/>
      <c r="U552" s="136"/>
      <c r="V552" s="45">
        <f t="shared" si="328"/>
        <v>-1459</v>
      </c>
      <c r="W552" s="143"/>
    </row>
    <row r="553" spans="1:23" ht="15.75" customHeight="1">
      <c r="A553" s="114"/>
      <c r="B553" s="118"/>
      <c r="C553" s="117"/>
      <c r="D553" s="19">
        <f t="shared" si="322"/>
        <v>-1459</v>
      </c>
      <c r="E553" s="106"/>
      <c r="F553" s="107"/>
      <c r="G553" s="26">
        <f t="shared" si="323"/>
        <v>-1459</v>
      </c>
      <c r="H553" s="133"/>
      <c r="I553" s="117"/>
      <c r="J553" s="19">
        <f t="shared" si="324"/>
        <v>-1459</v>
      </c>
      <c r="K553" s="106"/>
      <c r="L553" s="107"/>
      <c r="M553" s="26">
        <f t="shared" si="325"/>
        <v>-1459</v>
      </c>
      <c r="N553" s="117"/>
      <c r="O553" s="117"/>
      <c r="P553" s="38">
        <f t="shared" si="326"/>
        <v>-1459</v>
      </c>
      <c r="Q553" s="106"/>
      <c r="R553" s="107"/>
      <c r="S553" s="26">
        <f t="shared" si="327"/>
        <v>-1459</v>
      </c>
      <c r="T553" s="136"/>
      <c r="U553" s="136"/>
      <c r="V553" s="45">
        <f t="shared" si="328"/>
        <v>-1459</v>
      </c>
      <c r="W553" s="143"/>
    </row>
    <row r="554" spans="1:23" ht="15.75" customHeight="1">
      <c r="A554" s="114"/>
      <c r="B554" s="118"/>
      <c r="C554" s="117"/>
      <c r="D554" s="19">
        <f t="shared" si="322"/>
        <v>-1459</v>
      </c>
      <c r="E554" s="106"/>
      <c r="F554" s="107"/>
      <c r="G554" s="26">
        <f t="shared" si="323"/>
        <v>-1459</v>
      </c>
      <c r="H554" s="133"/>
      <c r="I554" s="117"/>
      <c r="J554" s="19">
        <f t="shared" si="324"/>
        <v>-1459</v>
      </c>
      <c r="K554" s="106"/>
      <c r="L554" s="107"/>
      <c r="M554" s="26">
        <f t="shared" si="325"/>
        <v>-1459</v>
      </c>
      <c r="N554" s="117"/>
      <c r="O554" s="117"/>
      <c r="P554" s="38">
        <f t="shared" si="326"/>
        <v>-1459</v>
      </c>
      <c r="Q554" s="106"/>
      <c r="R554" s="107"/>
      <c r="S554" s="26">
        <f t="shared" si="327"/>
        <v>-1459</v>
      </c>
      <c r="T554" s="136"/>
      <c r="U554" s="136"/>
      <c r="V554" s="45">
        <f t="shared" si="328"/>
        <v>-1459</v>
      </c>
      <c r="W554" s="143"/>
    </row>
    <row r="555" spans="1:23" ht="15.75" customHeight="1">
      <c r="A555" s="114"/>
      <c r="B555" s="118"/>
      <c r="C555" s="117"/>
      <c r="D555" s="19">
        <f t="shared" si="322"/>
        <v>-1459</v>
      </c>
      <c r="E555" s="106"/>
      <c r="F555" s="107"/>
      <c r="G555" s="26">
        <f t="shared" si="323"/>
        <v>-1459</v>
      </c>
      <c r="H555" s="133"/>
      <c r="I555" s="117"/>
      <c r="J555" s="19">
        <f t="shared" si="324"/>
        <v>-1459</v>
      </c>
      <c r="K555" s="106"/>
      <c r="L555" s="107"/>
      <c r="M555" s="26">
        <f t="shared" si="325"/>
        <v>-1459</v>
      </c>
      <c r="N555" s="117"/>
      <c r="O555" s="117"/>
      <c r="P555" s="38">
        <f t="shared" si="326"/>
        <v>-1459</v>
      </c>
      <c r="Q555" s="106"/>
      <c r="R555" s="107"/>
      <c r="S555" s="26">
        <f t="shared" si="327"/>
        <v>-1459</v>
      </c>
      <c r="T555" s="136"/>
      <c r="U555" s="136"/>
      <c r="V555" s="45">
        <f t="shared" si="328"/>
        <v>-1459</v>
      </c>
      <c r="W555" s="143"/>
    </row>
    <row r="556" spans="1:23" ht="15.75" customHeight="1">
      <c r="A556" s="114"/>
      <c r="B556" s="117"/>
      <c r="C556" s="117"/>
      <c r="D556" s="19">
        <f t="shared" si="322"/>
        <v>-1459</v>
      </c>
      <c r="E556" s="106"/>
      <c r="F556" s="107"/>
      <c r="G556" s="26">
        <f t="shared" si="323"/>
        <v>-1459</v>
      </c>
      <c r="H556" s="133"/>
      <c r="I556" s="117"/>
      <c r="J556" s="19">
        <f t="shared" si="324"/>
        <v>-1459</v>
      </c>
      <c r="K556" s="106"/>
      <c r="L556" s="107"/>
      <c r="M556" s="26">
        <f t="shared" si="325"/>
        <v>-1459</v>
      </c>
      <c r="N556" s="117"/>
      <c r="O556" s="117"/>
      <c r="P556" s="38">
        <f t="shared" si="326"/>
        <v>-1459</v>
      </c>
      <c r="Q556" s="106"/>
      <c r="R556" s="107"/>
      <c r="S556" s="26">
        <f t="shared" si="327"/>
        <v>-1459</v>
      </c>
      <c r="T556" s="136"/>
      <c r="U556" s="136"/>
      <c r="V556" s="45">
        <f t="shared" si="328"/>
        <v>-1459</v>
      </c>
      <c r="W556" s="143"/>
    </row>
    <row r="557" spans="1:23" ht="15.75" customHeight="1">
      <c r="A557" s="114"/>
      <c r="B557" s="117"/>
      <c r="C557" s="117"/>
      <c r="D557" s="19">
        <f t="shared" si="322"/>
        <v>-1459</v>
      </c>
      <c r="E557" s="122"/>
      <c r="F557" s="123"/>
      <c r="G557" s="26">
        <f t="shared" si="323"/>
        <v>-1459</v>
      </c>
      <c r="H557" s="133"/>
      <c r="I557" s="117"/>
      <c r="J557" s="19">
        <f t="shared" si="324"/>
        <v>-1459</v>
      </c>
      <c r="K557" s="122"/>
      <c r="L557" s="123"/>
      <c r="M557" s="26">
        <f t="shared" si="325"/>
        <v>-1459</v>
      </c>
      <c r="N557" s="117"/>
      <c r="O557" s="117"/>
      <c r="P557" s="38">
        <f t="shared" si="326"/>
        <v>-1459</v>
      </c>
      <c r="Q557" s="122"/>
      <c r="R557" s="123"/>
      <c r="S557" s="26">
        <f t="shared" si="327"/>
        <v>-1459</v>
      </c>
      <c r="T557" s="136"/>
      <c r="U557" s="136"/>
      <c r="V557" s="45">
        <f t="shared" si="328"/>
        <v>-1459</v>
      </c>
      <c r="W557" s="143"/>
    </row>
    <row r="558" spans="1:23" ht="15.75" customHeight="1">
      <c r="A558" s="114"/>
      <c r="B558" s="128"/>
      <c r="C558" s="128"/>
      <c r="D558" s="29">
        <f t="shared" si="322"/>
        <v>-1459</v>
      </c>
      <c r="E558" s="122"/>
      <c r="F558" s="123"/>
      <c r="G558" s="53">
        <f t="shared" si="323"/>
        <v>-1459</v>
      </c>
      <c r="H558" s="140"/>
      <c r="I558" s="128"/>
      <c r="J558" s="29">
        <f t="shared" si="324"/>
        <v>-1459</v>
      </c>
      <c r="K558" s="122"/>
      <c r="L558" s="123"/>
      <c r="M558" s="39">
        <f t="shared" si="325"/>
        <v>-1459</v>
      </c>
      <c r="N558" s="128"/>
      <c r="O558" s="128"/>
      <c r="P558" s="40">
        <f t="shared" si="326"/>
        <v>-1459</v>
      </c>
      <c r="Q558" s="122"/>
      <c r="R558" s="123"/>
      <c r="S558" s="39">
        <f t="shared" si="327"/>
        <v>-1459</v>
      </c>
      <c r="T558" s="141"/>
      <c r="U558" s="141"/>
      <c r="V558" s="46">
        <f t="shared" si="328"/>
        <v>-1459</v>
      </c>
      <c r="W558" s="143"/>
    </row>
    <row r="559" spans="1:23" ht="15.75" customHeight="1">
      <c r="A559" s="87"/>
      <c r="B559" s="77">
        <f ca="1">IFERROR(__xludf.DUMMYFUNCTION("DATE(VALUE(LEFT($B$2,4)),VALUE(MID($B$2,6,2)),VALUE(RIGHT($B$2,2)))
+ (VALUE(REGEXEXTRACT(INDIRECT(""A""&amp;ROW()+1),""\d+""))-1)*7
+ INT((COLUMN()-COLUMN($B559))/3)
"),46348)</f>
        <v>46348</v>
      </c>
      <c r="C559" s="81"/>
      <c r="D559" s="82"/>
      <c r="E559" s="77">
        <f ca="1">IFERROR(__xludf.DUMMYFUNCTION("DATE(VALUE(LEFT($B$2,4)),VALUE(MID($B$2,6,2)),VALUE(RIGHT($B$2,2)))
+ (VALUE(REGEXEXTRACT(INDIRECT(""A""&amp;ROW()+1),""\d+""))-1)*7
+ INT((COLUMN()-COLUMN($B559))/3)
"),46349)</f>
        <v>46349</v>
      </c>
      <c r="F559" s="81"/>
      <c r="G559" s="82"/>
      <c r="H559" s="77">
        <f ca="1">IFERROR(__xludf.DUMMYFUNCTION("DATE(VALUE(LEFT($B$2,4)),VALUE(MID($B$2,6,2)),VALUE(RIGHT($B$2,2)))
+ (VALUE(REGEXEXTRACT(INDIRECT(""A""&amp;ROW()+1),""\d+""))-1)*7
+ INT((COLUMN()-COLUMN($B559))/3)
"),46350)</f>
        <v>46350</v>
      </c>
      <c r="I559" s="81"/>
      <c r="J559" s="82"/>
      <c r="K559" s="77">
        <f ca="1">IFERROR(__xludf.DUMMYFUNCTION("DATE(VALUE(LEFT($B$2,4)),VALUE(MID($B$2,6,2)),VALUE(RIGHT($B$2,2)))
+ (VALUE(REGEXEXTRACT(INDIRECT(""A""&amp;ROW()+1),""\d+""))-1)*7
+ INT((COLUMN()-COLUMN($B559))/3)
"),46351)</f>
        <v>46351</v>
      </c>
      <c r="L559" s="81"/>
      <c r="M559" s="82"/>
      <c r="N559" s="77">
        <f ca="1">IFERROR(__xludf.DUMMYFUNCTION("DATE(VALUE(LEFT($B$2,4)),VALUE(MID($B$2,6,2)),VALUE(RIGHT($B$2,2)))
+ (VALUE(REGEXEXTRACT(INDIRECT(""A""&amp;ROW()+1),""\d+""))-1)*7
+ INT((COLUMN()-COLUMN($B559))/3)
"),46352)</f>
        <v>46352</v>
      </c>
      <c r="O559" s="81"/>
      <c r="P559" s="82"/>
      <c r="Q559" s="77">
        <f ca="1">IFERROR(__xludf.DUMMYFUNCTION("DATE(VALUE(LEFT($B$2,4)),VALUE(MID($B$2,6,2)),VALUE(RIGHT($B$2,2)))
+ (VALUE(REGEXEXTRACT(INDIRECT(""A""&amp;ROW()+1),""\d+""))-1)*7
+ INT((COLUMN()-COLUMN($B559))/3)
"),46353)</f>
        <v>46353</v>
      </c>
      <c r="R559" s="81"/>
      <c r="S559" s="82"/>
      <c r="T559" s="77">
        <f ca="1">IFERROR(__xludf.DUMMYFUNCTION("DATE(VALUE(LEFT($B$2,4)),VALUE(MID($B$2,6,2)),VALUE(RIGHT($B$2,2)))
+ (VALUE(REGEXEXTRACT(INDIRECT(""A""&amp;ROW()+1),""\d+""))-1)*7
+ INT((COLUMN()-COLUMN($B559))/3)
"),46354)</f>
        <v>46354</v>
      </c>
      <c r="U559" s="81"/>
      <c r="V559" s="82"/>
      <c r="W559" s="143"/>
    </row>
    <row r="560" spans="1:23" ht="15.75" customHeight="1">
      <c r="A560" s="51" t="s">
        <v>176</v>
      </c>
      <c r="B560" s="112"/>
      <c r="C560" s="111"/>
      <c r="D560" s="17">
        <f>V558+C560</f>
        <v>-1459</v>
      </c>
      <c r="E560" s="109"/>
      <c r="F560" s="109"/>
      <c r="G560" s="42">
        <f>D570+F560</f>
        <v>-1459</v>
      </c>
      <c r="H560" s="112"/>
      <c r="I560" s="111"/>
      <c r="J560" s="17">
        <f>G570+I560</f>
        <v>-1459</v>
      </c>
      <c r="K560" s="109"/>
      <c r="L560" s="109"/>
      <c r="M560" s="35">
        <f>J570+L560</f>
        <v>-1459</v>
      </c>
      <c r="N560" s="112"/>
      <c r="O560" s="111"/>
      <c r="P560" s="17">
        <f>M570+O560</f>
        <v>-1459</v>
      </c>
      <c r="Q560" s="109"/>
      <c r="R560" s="109"/>
      <c r="S560" s="35">
        <f>P570+R560</f>
        <v>-1459</v>
      </c>
      <c r="T560" s="112"/>
      <c r="U560" s="111"/>
      <c r="V560" s="48">
        <f>S570+U560</f>
        <v>-1459</v>
      </c>
      <c r="W560" s="143"/>
    </row>
    <row r="561" spans="1:23" ht="15.75" customHeight="1">
      <c r="A561" s="114"/>
      <c r="B561" s="106"/>
      <c r="C561" s="107"/>
      <c r="D561" s="26">
        <f t="shared" ref="D561:D570" si="329">D560+C561</f>
        <v>-1459</v>
      </c>
      <c r="E561" s="117"/>
      <c r="F561" s="117"/>
      <c r="G561" s="19">
        <f t="shared" ref="G561:G570" si="330">G560+F561</f>
        <v>-1459</v>
      </c>
      <c r="H561" s="106"/>
      <c r="I561" s="107"/>
      <c r="J561" s="26">
        <f t="shared" ref="J561:J570" si="331">J560+I561</f>
        <v>-1459</v>
      </c>
      <c r="K561" s="117"/>
      <c r="L561" s="117"/>
      <c r="M561" s="38">
        <f t="shared" ref="M561:M570" si="332">M560+L561</f>
        <v>-1459</v>
      </c>
      <c r="N561" s="106"/>
      <c r="O561" s="107"/>
      <c r="P561" s="26">
        <f t="shared" ref="P561:P570" si="333">P560+O561</f>
        <v>-1459</v>
      </c>
      <c r="Q561" s="117"/>
      <c r="R561" s="117"/>
      <c r="S561" s="38">
        <f t="shared" ref="S561:S570" si="334">S560+R561</f>
        <v>-1459</v>
      </c>
      <c r="T561" s="106"/>
      <c r="U561" s="107"/>
      <c r="V561" s="20">
        <f t="shared" ref="V561:V570" si="335">V560+U561</f>
        <v>-1459</v>
      </c>
      <c r="W561" s="143"/>
    </row>
    <row r="562" spans="1:23" ht="15.75" customHeight="1">
      <c r="A562" s="114"/>
      <c r="B562" s="106"/>
      <c r="C562" s="107"/>
      <c r="D562" s="26">
        <f t="shared" si="329"/>
        <v>-1459</v>
      </c>
      <c r="E562" s="117"/>
      <c r="F562" s="117"/>
      <c r="G562" s="19">
        <f t="shared" si="330"/>
        <v>-1459</v>
      </c>
      <c r="H562" s="106"/>
      <c r="I562" s="107"/>
      <c r="J562" s="26">
        <f t="shared" si="331"/>
        <v>-1459</v>
      </c>
      <c r="K562" s="117"/>
      <c r="L562" s="117"/>
      <c r="M562" s="38">
        <f t="shared" si="332"/>
        <v>-1459</v>
      </c>
      <c r="N562" s="106"/>
      <c r="O562" s="107"/>
      <c r="P562" s="26">
        <f t="shared" si="333"/>
        <v>-1459</v>
      </c>
      <c r="Q562" s="117"/>
      <c r="R562" s="117"/>
      <c r="S562" s="38">
        <f t="shared" si="334"/>
        <v>-1459</v>
      </c>
      <c r="T562" s="106"/>
      <c r="U562" s="116"/>
      <c r="V562" s="20">
        <f t="shared" si="335"/>
        <v>-1459</v>
      </c>
      <c r="W562" s="143"/>
    </row>
    <row r="563" spans="1:23" ht="15.75" customHeight="1">
      <c r="A563" s="114"/>
      <c r="B563" s="106"/>
      <c r="C563" s="107"/>
      <c r="D563" s="26">
        <f t="shared" si="329"/>
        <v>-1459</v>
      </c>
      <c r="E563" s="117"/>
      <c r="F563" s="117"/>
      <c r="G563" s="19">
        <f t="shared" si="330"/>
        <v>-1459</v>
      </c>
      <c r="H563" s="106"/>
      <c r="I563" s="107"/>
      <c r="J563" s="26">
        <f t="shared" si="331"/>
        <v>-1459</v>
      </c>
      <c r="K563" s="117"/>
      <c r="L563" s="117"/>
      <c r="M563" s="38">
        <f t="shared" si="332"/>
        <v>-1459</v>
      </c>
      <c r="N563" s="106"/>
      <c r="O563" s="107"/>
      <c r="P563" s="26">
        <f t="shared" si="333"/>
        <v>-1459</v>
      </c>
      <c r="Q563" s="117"/>
      <c r="R563" s="117"/>
      <c r="S563" s="38">
        <f t="shared" si="334"/>
        <v>-1459</v>
      </c>
      <c r="T563" s="106"/>
      <c r="U563" s="116"/>
      <c r="V563" s="20">
        <f t="shared" si="335"/>
        <v>-1459</v>
      </c>
      <c r="W563" s="143"/>
    </row>
    <row r="564" spans="1:23" ht="15.75" customHeight="1">
      <c r="A564" s="114"/>
      <c r="B564" s="106"/>
      <c r="C564" s="107"/>
      <c r="D564" s="26">
        <f t="shared" si="329"/>
        <v>-1459</v>
      </c>
      <c r="E564" s="117"/>
      <c r="F564" s="117"/>
      <c r="G564" s="19">
        <f t="shared" si="330"/>
        <v>-1459</v>
      </c>
      <c r="H564" s="106"/>
      <c r="I564" s="107"/>
      <c r="J564" s="26">
        <f t="shared" si="331"/>
        <v>-1459</v>
      </c>
      <c r="K564" s="117"/>
      <c r="L564" s="117"/>
      <c r="M564" s="38">
        <f t="shared" si="332"/>
        <v>-1459</v>
      </c>
      <c r="N564" s="106"/>
      <c r="O564" s="107"/>
      <c r="P564" s="26">
        <f t="shared" si="333"/>
        <v>-1459</v>
      </c>
      <c r="Q564" s="117"/>
      <c r="R564" s="117"/>
      <c r="S564" s="38">
        <f t="shared" si="334"/>
        <v>-1459</v>
      </c>
      <c r="T564" s="106"/>
      <c r="U564" s="116"/>
      <c r="V564" s="20">
        <f t="shared" si="335"/>
        <v>-1459</v>
      </c>
      <c r="W564" s="143"/>
    </row>
    <row r="565" spans="1:23" ht="15.75" customHeight="1">
      <c r="A565" s="114"/>
      <c r="B565" s="106"/>
      <c r="C565" s="107"/>
      <c r="D565" s="26">
        <f t="shared" si="329"/>
        <v>-1459</v>
      </c>
      <c r="E565" s="117"/>
      <c r="F565" s="117"/>
      <c r="G565" s="19">
        <f t="shared" si="330"/>
        <v>-1459</v>
      </c>
      <c r="H565" s="106"/>
      <c r="I565" s="107"/>
      <c r="J565" s="26">
        <f t="shared" si="331"/>
        <v>-1459</v>
      </c>
      <c r="K565" s="117"/>
      <c r="L565" s="117"/>
      <c r="M565" s="38">
        <f t="shared" si="332"/>
        <v>-1459</v>
      </c>
      <c r="N565" s="106"/>
      <c r="O565" s="107"/>
      <c r="P565" s="26">
        <f t="shared" si="333"/>
        <v>-1459</v>
      </c>
      <c r="Q565" s="117"/>
      <c r="R565" s="117"/>
      <c r="S565" s="38">
        <f t="shared" si="334"/>
        <v>-1459</v>
      </c>
      <c r="T565" s="106"/>
      <c r="U565" s="116"/>
      <c r="V565" s="20">
        <f t="shared" si="335"/>
        <v>-1459</v>
      </c>
      <c r="W565" s="143"/>
    </row>
    <row r="566" spans="1:23" ht="15.75" customHeight="1">
      <c r="A566" s="114"/>
      <c r="B566" s="106"/>
      <c r="C566" s="107"/>
      <c r="D566" s="26">
        <f t="shared" si="329"/>
        <v>-1459</v>
      </c>
      <c r="E566" s="117"/>
      <c r="F566" s="117"/>
      <c r="G566" s="19">
        <f t="shared" si="330"/>
        <v>-1459</v>
      </c>
      <c r="H566" s="106"/>
      <c r="I566" s="107"/>
      <c r="J566" s="26">
        <f t="shared" si="331"/>
        <v>-1459</v>
      </c>
      <c r="K566" s="117"/>
      <c r="L566" s="117"/>
      <c r="M566" s="38">
        <f t="shared" si="332"/>
        <v>-1459</v>
      </c>
      <c r="N566" s="106"/>
      <c r="O566" s="107"/>
      <c r="P566" s="26">
        <f t="shared" si="333"/>
        <v>-1459</v>
      </c>
      <c r="Q566" s="117"/>
      <c r="R566" s="117"/>
      <c r="S566" s="38">
        <f t="shared" si="334"/>
        <v>-1459</v>
      </c>
      <c r="T566" s="106"/>
      <c r="U566" s="116"/>
      <c r="V566" s="20">
        <f t="shared" si="335"/>
        <v>-1459</v>
      </c>
      <c r="W566" s="143"/>
    </row>
    <row r="567" spans="1:23" ht="15.75" customHeight="1">
      <c r="A567" s="114"/>
      <c r="B567" s="106"/>
      <c r="C567" s="107"/>
      <c r="D567" s="26">
        <f t="shared" si="329"/>
        <v>-1459</v>
      </c>
      <c r="E567" s="117"/>
      <c r="F567" s="117"/>
      <c r="G567" s="19">
        <f t="shared" si="330"/>
        <v>-1459</v>
      </c>
      <c r="H567" s="106"/>
      <c r="I567" s="107"/>
      <c r="J567" s="26">
        <f t="shared" si="331"/>
        <v>-1459</v>
      </c>
      <c r="K567" s="117"/>
      <c r="L567" s="117"/>
      <c r="M567" s="38">
        <f t="shared" si="332"/>
        <v>-1459</v>
      </c>
      <c r="N567" s="106"/>
      <c r="O567" s="107"/>
      <c r="P567" s="26">
        <f t="shared" si="333"/>
        <v>-1459</v>
      </c>
      <c r="Q567" s="117"/>
      <c r="R567" s="117"/>
      <c r="S567" s="38">
        <f t="shared" si="334"/>
        <v>-1459</v>
      </c>
      <c r="T567" s="106"/>
      <c r="U567" s="116"/>
      <c r="V567" s="20">
        <f t="shared" si="335"/>
        <v>-1459</v>
      </c>
      <c r="W567" s="143"/>
    </row>
    <row r="568" spans="1:23" ht="15.75" customHeight="1">
      <c r="A568" s="114"/>
      <c r="B568" s="122"/>
      <c r="C568" s="123"/>
      <c r="D568" s="26">
        <f t="shared" si="329"/>
        <v>-1459</v>
      </c>
      <c r="E568" s="117"/>
      <c r="F568" s="117"/>
      <c r="G568" s="19">
        <f t="shared" si="330"/>
        <v>-1459</v>
      </c>
      <c r="H568" s="122"/>
      <c r="I568" s="123"/>
      <c r="J568" s="26">
        <f t="shared" si="331"/>
        <v>-1459</v>
      </c>
      <c r="K568" s="117"/>
      <c r="L568" s="117"/>
      <c r="M568" s="38">
        <f t="shared" si="332"/>
        <v>-1459</v>
      </c>
      <c r="N568" s="122"/>
      <c r="O568" s="123"/>
      <c r="P568" s="26">
        <f t="shared" si="333"/>
        <v>-1459</v>
      </c>
      <c r="Q568" s="117"/>
      <c r="R568" s="117"/>
      <c r="S568" s="38">
        <f t="shared" si="334"/>
        <v>-1459</v>
      </c>
      <c r="T568" s="106"/>
      <c r="U568" s="116"/>
      <c r="V568" s="20">
        <f t="shared" si="335"/>
        <v>-1459</v>
      </c>
      <c r="W568" s="143"/>
    </row>
    <row r="569" spans="1:23" ht="15.75" customHeight="1">
      <c r="A569" s="114"/>
      <c r="B569" s="122"/>
      <c r="C569" s="123"/>
      <c r="D569" s="26">
        <f t="shared" si="329"/>
        <v>-1459</v>
      </c>
      <c r="E569" s="117"/>
      <c r="F569" s="117"/>
      <c r="G569" s="19">
        <f t="shared" si="330"/>
        <v>-1459</v>
      </c>
      <c r="H569" s="122"/>
      <c r="I569" s="123"/>
      <c r="J569" s="26">
        <f t="shared" si="331"/>
        <v>-1459</v>
      </c>
      <c r="K569" s="117"/>
      <c r="L569" s="117"/>
      <c r="M569" s="38">
        <f t="shared" si="332"/>
        <v>-1459</v>
      </c>
      <c r="N569" s="122"/>
      <c r="O569" s="123"/>
      <c r="P569" s="26">
        <f t="shared" si="333"/>
        <v>-1459</v>
      </c>
      <c r="Q569" s="117"/>
      <c r="R569" s="117"/>
      <c r="S569" s="38">
        <f t="shared" si="334"/>
        <v>-1459</v>
      </c>
      <c r="T569" s="122"/>
      <c r="U569" s="124"/>
      <c r="V569" s="20">
        <f t="shared" si="335"/>
        <v>-1459</v>
      </c>
      <c r="W569" s="143"/>
    </row>
    <row r="570" spans="1:23" ht="15.75" customHeight="1">
      <c r="A570" s="114"/>
      <c r="B570" s="122"/>
      <c r="C570" s="123"/>
      <c r="D570" s="39">
        <f t="shared" si="329"/>
        <v>-1459</v>
      </c>
      <c r="E570" s="128"/>
      <c r="F570" s="128"/>
      <c r="G570" s="29">
        <f t="shared" si="330"/>
        <v>-1459</v>
      </c>
      <c r="H570" s="122"/>
      <c r="I570" s="123"/>
      <c r="J570" s="39">
        <f t="shared" si="331"/>
        <v>-1459</v>
      </c>
      <c r="K570" s="128"/>
      <c r="L570" s="128"/>
      <c r="M570" s="40">
        <f t="shared" si="332"/>
        <v>-1459</v>
      </c>
      <c r="N570" s="122"/>
      <c r="O570" s="123"/>
      <c r="P570" s="39">
        <f t="shared" si="333"/>
        <v>-1459</v>
      </c>
      <c r="Q570" s="128"/>
      <c r="R570" s="128"/>
      <c r="S570" s="40">
        <f t="shared" si="334"/>
        <v>-1459</v>
      </c>
      <c r="T570" s="122"/>
      <c r="U570" s="123"/>
      <c r="V570" s="49">
        <f t="shared" si="335"/>
        <v>-1459</v>
      </c>
      <c r="W570" s="143"/>
    </row>
    <row r="571" spans="1:23" ht="15.75" customHeight="1">
      <c r="A571" s="87"/>
      <c r="B571" s="77">
        <f ca="1">IFERROR(__xludf.DUMMYFUNCTION("DATE(VALUE(LEFT($B$2,4)),VALUE(MID($B$2,6,2)),VALUE(RIGHT($B$2,2)))
+ (VALUE(REGEXEXTRACT(INDIRECT(""A""&amp;ROW()+1),""\d+""))-1)*7
+ INT((COLUMN()-COLUMN($B571))/3)
"),46355)</f>
        <v>46355</v>
      </c>
      <c r="C571" s="81"/>
      <c r="D571" s="82"/>
      <c r="E571" s="77">
        <f ca="1">IFERROR(__xludf.DUMMYFUNCTION("DATE(VALUE(LEFT($B$2,4)),VALUE(MID($B$2,6,2)),VALUE(RIGHT($B$2,2)))
+ (VALUE(REGEXEXTRACT(INDIRECT(""A""&amp;ROW()+1),""\d+""))-1)*7
+ INT((COLUMN()-COLUMN($B571))/3)
"),46356)</f>
        <v>46356</v>
      </c>
      <c r="F571" s="81"/>
      <c r="G571" s="82"/>
      <c r="H571" s="77">
        <f ca="1">IFERROR(__xludf.DUMMYFUNCTION("DATE(VALUE(LEFT($B$2,4)),VALUE(MID($B$2,6,2)),VALUE(RIGHT($B$2,2)))
+ (VALUE(REGEXEXTRACT(INDIRECT(""A""&amp;ROW()+1),""\d+""))-1)*7
+ INT((COLUMN()-COLUMN($B571))/3)
"),46357)</f>
        <v>46357</v>
      </c>
      <c r="I571" s="81"/>
      <c r="J571" s="82"/>
      <c r="K571" s="77">
        <f ca="1">IFERROR(__xludf.DUMMYFUNCTION("DATE(VALUE(LEFT($B$2,4)),VALUE(MID($B$2,6,2)),VALUE(RIGHT($B$2,2)))
+ (VALUE(REGEXEXTRACT(INDIRECT(""A""&amp;ROW()+1),""\d+""))-1)*7
+ INT((COLUMN()-COLUMN($B571))/3)
"),46358)</f>
        <v>46358</v>
      </c>
      <c r="L571" s="81"/>
      <c r="M571" s="82"/>
      <c r="N571" s="77">
        <f ca="1">IFERROR(__xludf.DUMMYFUNCTION("DATE(VALUE(LEFT($B$2,4)),VALUE(MID($B$2,6,2)),VALUE(RIGHT($B$2,2)))
+ (VALUE(REGEXEXTRACT(INDIRECT(""A""&amp;ROW()+1),""\d+""))-1)*7
+ INT((COLUMN()-COLUMN($B571))/3)
"),46359)</f>
        <v>46359</v>
      </c>
      <c r="O571" s="81"/>
      <c r="P571" s="82"/>
      <c r="Q571" s="77">
        <f ca="1">IFERROR(__xludf.DUMMYFUNCTION("DATE(VALUE(LEFT($B$2,4)),VALUE(MID($B$2,6,2)),VALUE(RIGHT($B$2,2)))
+ (VALUE(REGEXEXTRACT(INDIRECT(""A""&amp;ROW()+1),""\d+""))-1)*7
+ INT((COLUMN()-COLUMN($B571))/3)
"),46360)</f>
        <v>46360</v>
      </c>
      <c r="R571" s="81"/>
      <c r="S571" s="82"/>
      <c r="T571" s="77">
        <f ca="1">IFERROR(__xludf.DUMMYFUNCTION("DATE(VALUE(LEFT($B$2,4)),VALUE(MID($B$2,6,2)),VALUE(RIGHT($B$2,2)))
+ (VALUE(REGEXEXTRACT(INDIRECT(""A""&amp;ROW()+1),""\d+""))-1)*7
+ INT((COLUMN()-COLUMN($B571))/3)
"),46361)</f>
        <v>46361</v>
      </c>
      <c r="U571" s="81"/>
      <c r="V571" s="82"/>
      <c r="W571" s="52" t="s">
        <v>20</v>
      </c>
    </row>
    <row r="572" spans="1:23" ht="15.75" customHeight="1">
      <c r="A572" s="47" t="s">
        <v>177</v>
      </c>
      <c r="B572" s="113"/>
      <c r="C572" s="109"/>
      <c r="D572" s="42">
        <f>V570+C572</f>
        <v>-1459</v>
      </c>
      <c r="E572" s="112"/>
      <c r="F572" s="111"/>
      <c r="G572" s="36">
        <f>D582+F572</f>
        <v>-1459</v>
      </c>
      <c r="H572" s="109"/>
      <c r="I572" s="109"/>
      <c r="J572" s="42">
        <f>G582+I572</f>
        <v>-1459</v>
      </c>
      <c r="K572" s="112"/>
      <c r="L572" s="111"/>
      <c r="M572" s="18">
        <f>J582+L572</f>
        <v>-1459</v>
      </c>
      <c r="N572" s="113"/>
      <c r="O572" s="109"/>
      <c r="P572" s="35">
        <f>M582+O572</f>
        <v>-1459</v>
      </c>
      <c r="Q572" s="112"/>
      <c r="R572" s="111"/>
      <c r="S572" s="36">
        <f>P582+R572</f>
        <v>-1459</v>
      </c>
      <c r="T572" s="176"/>
      <c r="U572" s="173"/>
      <c r="V572" s="50">
        <f>S582+U572</f>
        <v>-1459</v>
      </c>
      <c r="W572" s="172"/>
    </row>
    <row r="573" spans="1:23" ht="15.75" customHeight="1">
      <c r="A573" s="114"/>
      <c r="B573" s="118"/>
      <c r="C573" s="117"/>
      <c r="D573" s="19">
        <f t="shared" ref="D573:D582" si="336">D572+C573</f>
        <v>-1459</v>
      </c>
      <c r="E573" s="106"/>
      <c r="F573" s="107"/>
      <c r="G573" s="26">
        <f t="shared" ref="G573:G582" si="337">G572+F573</f>
        <v>-1459</v>
      </c>
      <c r="H573" s="117"/>
      <c r="I573" s="117"/>
      <c r="J573" s="19">
        <f t="shared" ref="J573:J582" si="338">J572+I573</f>
        <v>-1459</v>
      </c>
      <c r="K573" s="106"/>
      <c r="L573" s="107"/>
      <c r="M573" s="26">
        <f t="shared" ref="M573:M582" si="339">M572+L573</f>
        <v>-1459</v>
      </c>
      <c r="N573" s="118"/>
      <c r="O573" s="117"/>
      <c r="P573" s="38">
        <f t="shared" ref="P573:P582" si="340">P572+O573</f>
        <v>-1459</v>
      </c>
      <c r="Q573" s="106"/>
      <c r="R573" s="107"/>
      <c r="S573" s="26">
        <f t="shared" ref="S573:S582" si="341">S572+R573</f>
        <v>-1459</v>
      </c>
      <c r="T573" s="177"/>
      <c r="U573" s="136"/>
      <c r="V573" s="45">
        <f t="shared" ref="V573:V582" si="342">V572+U573</f>
        <v>-1459</v>
      </c>
      <c r="W573" s="143"/>
    </row>
    <row r="574" spans="1:23" ht="15.75" customHeight="1">
      <c r="A574" s="114"/>
      <c r="B574" s="118"/>
      <c r="C574" s="117"/>
      <c r="D574" s="19">
        <f t="shared" si="336"/>
        <v>-1459</v>
      </c>
      <c r="E574" s="106"/>
      <c r="F574" s="107"/>
      <c r="G574" s="26">
        <f t="shared" si="337"/>
        <v>-1459</v>
      </c>
      <c r="H574" s="117"/>
      <c r="I574" s="117"/>
      <c r="J574" s="19">
        <f t="shared" si="338"/>
        <v>-1459</v>
      </c>
      <c r="K574" s="106"/>
      <c r="L574" s="107"/>
      <c r="M574" s="26">
        <f t="shared" si="339"/>
        <v>-1459</v>
      </c>
      <c r="N574" s="117"/>
      <c r="O574" s="117"/>
      <c r="P574" s="38">
        <f t="shared" si="340"/>
        <v>-1459</v>
      </c>
      <c r="Q574" s="106"/>
      <c r="R574" s="107"/>
      <c r="S574" s="26">
        <f t="shared" si="341"/>
        <v>-1459</v>
      </c>
      <c r="T574" s="136"/>
      <c r="U574" s="136"/>
      <c r="V574" s="45">
        <f t="shared" si="342"/>
        <v>-1459</v>
      </c>
      <c r="W574" s="143"/>
    </row>
    <row r="575" spans="1:23" ht="15.75" customHeight="1">
      <c r="A575" s="114"/>
      <c r="B575" s="118"/>
      <c r="C575" s="117"/>
      <c r="D575" s="19">
        <f t="shared" si="336"/>
        <v>-1459</v>
      </c>
      <c r="E575" s="106"/>
      <c r="F575" s="107"/>
      <c r="G575" s="26">
        <f t="shared" si="337"/>
        <v>-1459</v>
      </c>
      <c r="H575" s="117"/>
      <c r="I575" s="117"/>
      <c r="J575" s="19">
        <f t="shared" si="338"/>
        <v>-1459</v>
      </c>
      <c r="K575" s="106"/>
      <c r="L575" s="107"/>
      <c r="M575" s="26">
        <f t="shared" si="339"/>
        <v>-1459</v>
      </c>
      <c r="N575" s="117"/>
      <c r="O575" s="117"/>
      <c r="P575" s="38">
        <f t="shared" si="340"/>
        <v>-1459</v>
      </c>
      <c r="Q575" s="106"/>
      <c r="R575" s="107"/>
      <c r="S575" s="26">
        <f t="shared" si="341"/>
        <v>-1459</v>
      </c>
      <c r="T575" s="136"/>
      <c r="U575" s="136"/>
      <c r="V575" s="45">
        <f t="shared" si="342"/>
        <v>-1459</v>
      </c>
      <c r="W575" s="143"/>
    </row>
    <row r="576" spans="1:23" ht="15.75" customHeight="1">
      <c r="A576" s="114"/>
      <c r="B576" s="118"/>
      <c r="C576" s="117"/>
      <c r="D576" s="19">
        <f t="shared" si="336"/>
        <v>-1459</v>
      </c>
      <c r="E576" s="106"/>
      <c r="F576" s="107"/>
      <c r="G576" s="26">
        <f t="shared" si="337"/>
        <v>-1459</v>
      </c>
      <c r="H576" s="117"/>
      <c r="I576" s="117"/>
      <c r="J576" s="19">
        <f t="shared" si="338"/>
        <v>-1459</v>
      </c>
      <c r="K576" s="106"/>
      <c r="L576" s="107"/>
      <c r="M576" s="26">
        <f t="shared" si="339"/>
        <v>-1459</v>
      </c>
      <c r="N576" s="117"/>
      <c r="O576" s="117"/>
      <c r="P576" s="38">
        <f t="shared" si="340"/>
        <v>-1459</v>
      </c>
      <c r="Q576" s="106"/>
      <c r="R576" s="107"/>
      <c r="S576" s="26">
        <f t="shared" si="341"/>
        <v>-1459</v>
      </c>
      <c r="T576" s="136"/>
      <c r="U576" s="136"/>
      <c r="V576" s="45">
        <f t="shared" si="342"/>
        <v>-1459</v>
      </c>
      <c r="W576" s="143"/>
    </row>
    <row r="577" spans="1:23" ht="15.75" customHeight="1">
      <c r="A577" s="114"/>
      <c r="B577" s="118"/>
      <c r="C577" s="117"/>
      <c r="D577" s="19">
        <f t="shared" si="336"/>
        <v>-1459</v>
      </c>
      <c r="E577" s="106"/>
      <c r="F577" s="107"/>
      <c r="G577" s="26">
        <f t="shared" si="337"/>
        <v>-1459</v>
      </c>
      <c r="H577" s="117"/>
      <c r="I577" s="117"/>
      <c r="J577" s="19">
        <f t="shared" si="338"/>
        <v>-1459</v>
      </c>
      <c r="K577" s="106"/>
      <c r="L577" s="107"/>
      <c r="M577" s="26">
        <f t="shared" si="339"/>
        <v>-1459</v>
      </c>
      <c r="N577" s="117"/>
      <c r="O577" s="117"/>
      <c r="P577" s="38">
        <f t="shared" si="340"/>
        <v>-1459</v>
      </c>
      <c r="Q577" s="106"/>
      <c r="R577" s="107"/>
      <c r="S577" s="26">
        <f t="shared" si="341"/>
        <v>-1459</v>
      </c>
      <c r="T577" s="136"/>
      <c r="U577" s="136"/>
      <c r="V577" s="45">
        <f t="shared" si="342"/>
        <v>-1459</v>
      </c>
      <c r="W577" s="143"/>
    </row>
    <row r="578" spans="1:23" ht="15.75" customHeight="1">
      <c r="A578" s="114"/>
      <c r="B578" s="117"/>
      <c r="C578" s="117"/>
      <c r="D578" s="19">
        <f t="shared" si="336"/>
        <v>-1459</v>
      </c>
      <c r="E578" s="106"/>
      <c r="F578" s="107"/>
      <c r="G578" s="26">
        <f t="shared" si="337"/>
        <v>-1459</v>
      </c>
      <c r="H578" s="117"/>
      <c r="I578" s="117"/>
      <c r="J578" s="19">
        <f t="shared" si="338"/>
        <v>-1459</v>
      </c>
      <c r="K578" s="106"/>
      <c r="L578" s="107"/>
      <c r="M578" s="26">
        <f t="shared" si="339"/>
        <v>-1459</v>
      </c>
      <c r="N578" s="117"/>
      <c r="O578" s="117"/>
      <c r="P578" s="38">
        <f t="shared" si="340"/>
        <v>-1459</v>
      </c>
      <c r="Q578" s="106"/>
      <c r="R578" s="107"/>
      <c r="S578" s="26">
        <f t="shared" si="341"/>
        <v>-1459</v>
      </c>
      <c r="T578" s="136"/>
      <c r="U578" s="136"/>
      <c r="V578" s="45">
        <f t="shared" si="342"/>
        <v>-1459</v>
      </c>
      <c r="W578" s="143"/>
    </row>
    <row r="579" spans="1:23" ht="15.75" customHeight="1">
      <c r="A579" s="114"/>
      <c r="B579" s="117"/>
      <c r="C579" s="117"/>
      <c r="D579" s="19">
        <f t="shared" si="336"/>
        <v>-1459</v>
      </c>
      <c r="E579" s="106"/>
      <c r="F579" s="107"/>
      <c r="G579" s="26">
        <f t="shared" si="337"/>
        <v>-1459</v>
      </c>
      <c r="H579" s="133"/>
      <c r="I579" s="117"/>
      <c r="J579" s="19">
        <f t="shared" si="338"/>
        <v>-1459</v>
      </c>
      <c r="K579" s="106"/>
      <c r="L579" s="107"/>
      <c r="M579" s="26">
        <f t="shared" si="339"/>
        <v>-1459</v>
      </c>
      <c r="N579" s="117"/>
      <c r="O579" s="117"/>
      <c r="P579" s="38">
        <f t="shared" si="340"/>
        <v>-1459</v>
      </c>
      <c r="Q579" s="106"/>
      <c r="R579" s="107"/>
      <c r="S579" s="26">
        <f t="shared" si="341"/>
        <v>-1459</v>
      </c>
      <c r="T579" s="136"/>
      <c r="U579" s="136"/>
      <c r="V579" s="45">
        <f t="shared" si="342"/>
        <v>-1459</v>
      </c>
      <c r="W579" s="143"/>
    </row>
    <row r="580" spans="1:23" ht="15.75" customHeight="1">
      <c r="A580" s="114"/>
      <c r="B580" s="117"/>
      <c r="C580" s="117"/>
      <c r="D580" s="19">
        <f t="shared" si="336"/>
        <v>-1459</v>
      </c>
      <c r="E580" s="106"/>
      <c r="F580" s="107"/>
      <c r="G580" s="26">
        <f t="shared" si="337"/>
        <v>-1459</v>
      </c>
      <c r="H580" s="133"/>
      <c r="I580" s="117"/>
      <c r="J580" s="19">
        <f t="shared" si="338"/>
        <v>-1459</v>
      </c>
      <c r="K580" s="106"/>
      <c r="L580" s="107"/>
      <c r="M580" s="26">
        <f t="shared" si="339"/>
        <v>-1459</v>
      </c>
      <c r="N580" s="117"/>
      <c r="O580" s="117"/>
      <c r="P580" s="38">
        <f t="shared" si="340"/>
        <v>-1459</v>
      </c>
      <c r="Q580" s="106"/>
      <c r="R580" s="107"/>
      <c r="S580" s="26">
        <f t="shared" si="341"/>
        <v>-1459</v>
      </c>
      <c r="T580" s="136"/>
      <c r="U580" s="136"/>
      <c r="V580" s="45">
        <f t="shared" si="342"/>
        <v>-1459</v>
      </c>
      <c r="W580" s="143"/>
    </row>
    <row r="581" spans="1:23" ht="15.75" customHeight="1">
      <c r="A581" s="114"/>
      <c r="B581" s="117"/>
      <c r="C581" s="117"/>
      <c r="D581" s="19">
        <f t="shared" si="336"/>
        <v>-1459</v>
      </c>
      <c r="E581" s="122"/>
      <c r="F581" s="123"/>
      <c r="G581" s="26">
        <f t="shared" si="337"/>
        <v>-1459</v>
      </c>
      <c r="H581" s="133"/>
      <c r="I581" s="117"/>
      <c r="J581" s="19">
        <f t="shared" si="338"/>
        <v>-1459</v>
      </c>
      <c r="K581" s="122"/>
      <c r="L581" s="123"/>
      <c r="M581" s="26">
        <f t="shared" si="339"/>
        <v>-1459</v>
      </c>
      <c r="N581" s="117"/>
      <c r="O581" s="117"/>
      <c r="P581" s="38">
        <f t="shared" si="340"/>
        <v>-1459</v>
      </c>
      <c r="Q581" s="122"/>
      <c r="R581" s="123"/>
      <c r="S581" s="26">
        <f t="shared" si="341"/>
        <v>-1459</v>
      </c>
      <c r="T581" s="136"/>
      <c r="U581" s="136"/>
      <c r="V581" s="45">
        <f t="shared" si="342"/>
        <v>-1459</v>
      </c>
      <c r="W581" s="143"/>
    </row>
    <row r="582" spans="1:23" ht="15.75" customHeight="1">
      <c r="A582" s="114"/>
      <c r="B582" s="128"/>
      <c r="C582" s="128"/>
      <c r="D582" s="29">
        <f t="shared" si="336"/>
        <v>-1459</v>
      </c>
      <c r="E582" s="122"/>
      <c r="F582" s="123"/>
      <c r="G582" s="53">
        <f t="shared" si="337"/>
        <v>-1459</v>
      </c>
      <c r="H582" s="140"/>
      <c r="I582" s="128"/>
      <c r="J582" s="29">
        <f t="shared" si="338"/>
        <v>-1459</v>
      </c>
      <c r="K582" s="122"/>
      <c r="L582" s="123"/>
      <c r="M582" s="39">
        <f t="shared" si="339"/>
        <v>-1459</v>
      </c>
      <c r="N582" s="128"/>
      <c r="O582" s="128"/>
      <c r="P582" s="40">
        <f t="shared" si="340"/>
        <v>-1459</v>
      </c>
      <c r="Q582" s="122"/>
      <c r="R582" s="123"/>
      <c r="S582" s="39">
        <f t="shared" si="341"/>
        <v>-1459</v>
      </c>
      <c r="T582" s="141"/>
      <c r="U582" s="141"/>
      <c r="V582" s="46">
        <f t="shared" si="342"/>
        <v>-1459</v>
      </c>
      <c r="W582" s="143"/>
    </row>
    <row r="583" spans="1:23" ht="15.75" customHeight="1">
      <c r="A583" s="87"/>
      <c r="B583" s="77">
        <f ca="1">IFERROR(__xludf.DUMMYFUNCTION("DATE(VALUE(LEFT($B$2,4)),VALUE(MID($B$2,6,2)),VALUE(RIGHT($B$2,2)))
+ (VALUE(REGEXEXTRACT(INDIRECT(""A""&amp;ROW()+1),""\d+""))-1)*7
+ INT((COLUMN()-COLUMN($B583))/3)
"),46362)</f>
        <v>46362</v>
      </c>
      <c r="C583" s="81"/>
      <c r="D583" s="82"/>
      <c r="E583" s="77">
        <f ca="1">IFERROR(__xludf.DUMMYFUNCTION("DATE(VALUE(LEFT($B$2,4)),VALUE(MID($B$2,6,2)),VALUE(RIGHT($B$2,2)))
+ (VALUE(REGEXEXTRACT(INDIRECT(""A""&amp;ROW()+1),""\d+""))-1)*7
+ INT((COLUMN()-COLUMN($B583))/3)
"),46363)</f>
        <v>46363</v>
      </c>
      <c r="F583" s="81"/>
      <c r="G583" s="82"/>
      <c r="H583" s="77">
        <f ca="1">IFERROR(__xludf.DUMMYFUNCTION("DATE(VALUE(LEFT($B$2,4)),VALUE(MID($B$2,6,2)),VALUE(RIGHT($B$2,2)))
+ (VALUE(REGEXEXTRACT(INDIRECT(""A""&amp;ROW()+1),""\d+""))-1)*7
+ INT((COLUMN()-COLUMN($B583))/3)
"),46364)</f>
        <v>46364</v>
      </c>
      <c r="I583" s="81"/>
      <c r="J583" s="82"/>
      <c r="K583" s="77">
        <f ca="1">IFERROR(__xludf.DUMMYFUNCTION("DATE(VALUE(LEFT($B$2,4)),VALUE(MID($B$2,6,2)),VALUE(RIGHT($B$2,2)))
+ (VALUE(REGEXEXTRACT(INDIRECT(""A""&amp;ROW()+1),""\d+""))-1)*7
+ INT((COLUMN()-COLUMN($B583))/3)
"),46365)</f>
        <v>46365</v>
      </c>
      <c r="L583" s="81"/>
      <c r="M583" s="82"/>
      <c r="N583" s="77">
        <f ca="1">IFERROR(__xludf.DUMMYFUNCTION("DATE(VALUE(LEFT($B$2,4)),VALUE(MID($B$2,6,2)),VALUE(RIGHT($B$2,2)))
+ (VALUE(REGEXEXTRACT(INDIRECT(""A""&amp;ROW()+1),""\d+""))-1)*7
+ INT((COLUMN()-COLUMN($B583))/3)
"),46366)</f>
        <v>46366</v>
      </c>
      <c r="O583" s="81"/>
      <c r="P583" s="82"/>
      <c r="Q583" s="77">
        <f ca="1">IFERROR(__xludf.DUMMYFUNCTION("DATE(VALUE(LEFT($B$2,4)),VALUE(MID($B$2,6,2)),VALUE(RIGHT($B$2,2)))
+ (VALUE(REGEXEXTRACT(INDIRECT(""A""&amp;ROW()+1),""\d+""))-1)*7
+ INT((COLUMN()-COLUMN($B583))/3)
"),46367)</f>
        <v>46367</v>
      </c>
      <c r="R583" s="81"/>
      <c r="S583" s="82"/>
      <c r="T583" s="77">
        <f ca="1">IFERROR(__xludf.DUMMYFUNCTION("DATE(VALUE(LEFT($B$2,4)),VALUE(MID($B$2,6,2)),VALUE(RIGHT($B$2,2)))
+ (VALUE(REGEXEXTRACT(INDIRECT(""A""&amp;ROW()+1),""\d+""))-1)*7
+ INT((COLUMN()-COLUMN($B583))/3)
"),46368)</f>
        <v>46368</v>
      </c>
      <c r="U583" s="81"/>
      <c r="V583" s="82"/>
      <c r="W583" s="143"/>
    </row>
    <row r="584" spans="1:23" ht="15.75" customHeight="1">
      <c r="A584" s="51" t="s">
        <v>178</v>
      </c>
      <c r="B584" s="112"/>
      <c r="C584" s="111"/>
      <c r="D584" s="17">
        <f>V582+C584</f>
        <v>-1459</v>
      </c>
      <c r="E584" s="109"/>
      <c r="F584" s="109"/>
      <c r="G584" s="54">
        <f>D594+F584</f>
        <v>-1459</v>
      </c>
      <c r="H584" s="110"/>
      <c r="I584" s="111"/>
      <c r="J584" s="17">
        <f>G594+I584</f>
        <v>-1459</v>
      </c>
      <c r="K584" s="109"/>
      <c r="L584" s="109"/>
      <c r="M584" s="35">
        <f>J594+L584</f>
        <v>-1459</v>
      </c>
      <c r="N584" s="112"/>
      <c r="O584" s="111"/>
      <c r="P584" s="17">
        <f>M594+O584</f>
        <v>-1459</v>
      </c>
      <c r="Q584" s="109"/>
      <c r="R584" s="109"/>
      <c r="S584" s="35">
        <f>P594+R584</f>
        <v>-1459</v>
      </c>
      <c r="T584" s="112"/>
      <c r="U584" s="111"/>
      <c r="V584" s="48">
        <f>S594+U584</f>
        <v>-1459</v>
      </c>
      <c r="W584" s="143"/>
    </row>
    <row r="585" spans="1:23" ht="15.75" customHeight="1">
      <c r="A585" s="114"/>
      <c r="B585" s="106"/>
      <c r="C585" s="107"/>
      <c r="D585" s="26">
        <f t="shared" ref="D585:D594" si="343">D584+C585</f>
        <v>-1459</v>
      </c>
      <c r="E585" s="117"/>
      <c r="F585" s="117"/>
      <c r="G585" s="19">
        <f t="shared" ref="G585:G594" si="344">G584+F585</f>
        <v>-1459</v>
      </c>
      <c r="H585" s="116"/>
      <c r="I585" s="107"/>
      <c r="J585" s="26">
        <f t="shared" ref="J585:J594" si="345">J584+I585</f>
        <v>-1459</v>
      </c>
      <c r="K585" s="117"/>
      <c r="L585" s="117"/>
      <c r="M585" s="38">
        <f t="shared" ref="M585:M594" si="346">M584+L585</f>
        <v>-1459</v>
      </c>
      <c r="N585" s="106"/>
      <c r="O585" s="107"/>
      <c r="P585" s="26">
        <f t="shared" ref="P585:P594" si="347">P584+O585</f>
        <v>-1459</v>
      </c>
      <c r="Q585" s="117"/>
      <c r="R585" s="117"/>
      <c r="S585" s="38">
        <f t="shared" ref="S585:S594" si="348">S584+R585</f>
        <v>-1459</v>
      </c>
      <c r="T585" s="106"/>
      <c r="U585" s="116"/>
      <c r="V585" s="20">
        <f t="shared" ref="V585:V594" si="349">V584+U585</f>
        <v>-1459</v>
      </c>
      <c r="W585" s="143"/>
    </row>
    <row r="586" spans="1:23" ht="15.75" customHeight="1">
      <c r="A586" s="114"/>
      <c r="B586" s="106"/>
      <c r="C586" s="107"/>
      <c r="D586" s="26">
        <f t="shared" si="343"/>
        <v>-1459</v>
      </c>
      <c r="E586" s="117"/>
      <c r="F586" s="117"/>
      <c r="G586" s="19">
        <f t="shared" si="344"/>
        <v>-1459</v>
      </c>
      <c r="H586" s="116"/>
      <c r="I586" s="107"/>
      <c r="J586" s="26">
        <f t="shared" si="345"/>
        <v>-1459</v>
      </c>
      <c r="K586" s="117"/>
      <c r="L586" s="117"/>
      <c r="M586" s="38">
        <f t="shared" si="346"/>
        <v>-1459</v>
      </c>
      <c r="N586" s="106"/>
      <c r="O586" s="107"/>
      <c r="P586" s="26">
        <f t="shared" si="347"/>
        <v>-1459</v>
      </c>
      <c r="Q586" s="117"/>
      <c r="R586" s="117"/>
      <c r="S586" s="38">
        <f t="shared" si="348"/>
        <v>-1459</v>
      </c>
      <c r="T586" s="106"/>
      <c r="U586" s="107"/>
      <c r="V586" s="20">
        <f t="shared" si="349"/>
        <v>-1459</v>
      </c>
      <c r="W586" s="143"/>
    </row>
    <row r="587" spans="1:23" ht="15.75" customHeight="1">
      <c r="A587" s="114"/>
      <c r="B587" s="106"/>
      <c r="C587" s="107"/>
      <c r="D587" s="26">
        <f t="shared" si="343"/>
        <v>-1459</v>
      </c>
      <c r="E587" s="117"/>
      <c r="F587" s="117"/>
      <c r="G587" s="19">
        <f t="shared" si="344"/>
        <v>-1459</v>
      </c>
      <c r="H587" s="116"/>
      <c r="I587" s="107"/>
      <c r="J587" s="26">
        <f t="shared" si="345"/>
        <v>-1459</v>
      </c>
      <c r="K587" s="117"/>
      <c r="L587" s="117"/>
      <c r="M587" s="38">
        <f t="shared" si="346"/>
        <v>-1459</v>
      </c>
      <c r="N587" s="106"/>
      <c r="O587" s="107"/>
      <c r="P587" s="26">
        <f t="shared" si="347"/>
        <v>-1459</v>
      </c>
      <c r="Q587" s="117"/>
      <c r="R587" s="117"/>
      <c r="S587" s="38">
        <f t="shared" si="348"/>
        <v>-1459</v>
      </c>
      <c r="T587" s="106"/>
      <c r="U587" s="107"/>
      <c r="V587" s="20">
        <f t="shared" si="349"/>
        <v>-1459</v>
      </c>
      <c r="W587" s="143"/>
    </row>
    <row r="588" spans="1:23" ht="15.75" customHeight="1">
      <c r="A588" s="114"/>
      <c r="B588" s="106"/>
      <c r="C588" s="107"/>
      <c r="D588" s="26">
        <f t="shared" si="343"/>
        <v>-1459</v>
      </c>
      <c r="E588" s="117"/>
      <c r="F588" s="117"/>
      <c r="G588" s="19">
        <f t="shared" si="344"/>
        <v>-1459</v>
      </c>
      <c r="H588" s="116"/>
      <c r="I588" s="107"/>
      <c r="J588" s="26">
        <f t="shared" si="345"/>
        <v>-1459</v>
      </c>
      <c r="K588" s="117"/>
      <c r="L588" s="117"/>
      <c r="M588" s="38">
        <f t="shared" si="346"/>
        <v>-1459</v>
      </c>
      <c r="N588" s="106"/>
      <c r="O588" s="107"/>
      <c r="P588" s="26">
        <f t="shared" si="347"/>
        <v>-1459</v>
      </c>
      <c r="Q588" s="117"/>
      <c r="R588" s="117"/>
      <c r="S588" s="38">
        <f t="shared" si="348"/>
        <v>-1459</v>
      </c>
      <c r="T588" s="106"/>
      <c r="U588" s="116"/>
      <c r="V588" s="20">
        <f t="shared" si="349"/>
        <v>-1459</v>
      </c>
      <c r="W588" s="143"/>
    </row>
    <row r="589" spans="1:23" ht="15.75" customHeight="1">
      <c r="A589" s="114"/>
      <c r="B589" s="106"/>
      <c r="C589" s="107"/>
      <c r="D589" s="26">
        <f t="shared" si="343"/>
        <v>-1459</v>
      </c>
      <c r="E589" s="117"/>
      <c r="F589" s="117"/>
      <c r="G589" s="19">
        <f t="shared" si="344"/>
        <v>-1459</v>
      </c>
      <c r="H589" s="116"/>
      <c r="I589" s="107"/>
      <c r="J589" s="26">
        <f t="shared" si="345"/>
        <v>-1459</v>
      </c>
      <c r="K589" s="117"/>
      <c r="L589" s="117"/>
      <c r="M589" s="38">
        <f t="shared" si="346"/>
        <v>-1459</v>
      </c>
      <c r="N589" s="106"/>
      <c r="O589" s="107"/>
      <c r="P589" s="26">
        <f t="shared" si="347"/>
        <v>-1459</v>
      </c>
      <c r="Q589" s="117"/>
      <c r="R589" s="117"/>
      <c r="S589" s="38">
        <f t="shared" si="348"/>
        <v>-1459</v>
      </c>
      <c r="T589" s="106"/>
      <c r="U589" s="116"/>
      <c r="V589" s="20">
        <f t="shared" si="349"/>
        <v>-1459</v>
      </c>
      <c r="W589" s="143"/>
    </row>
    <row r="590" spans="1:23" ht="15.75" customHeight="1">
      <c r="A590" s="114"/>
      <c r="B590" s="106"/>
      <c r="C590" s="107"/>
      <c r="D590" s="26">
        <f t="shared" si="343"/>
        <v>-1459</v>
      </c>
      <c r="E590" s="117"/>
      <c r="F590" s="117"/>
      <c r="G590" s="19">
        <f t="shared" si="344"/>
        <v>-1459</v>
      </c>
      <c r="H590" s="116"/>
      <c r="I590" s="107"/>
      <c r="J590" s="26">
        <f t="shared" si="345"/>
        <v>-1459</v>
      </c>
      <c r="K590" s="117"/>
      <c r="L590" s="117"/>
      <c r="M590" s="38">
        <f t="shared" si="346"/>
        <v>-1459</v>
      </c>
      <c r="N590" s="106"/>
      <c r="O590" s="107"/>
      <c r="P590" s="26">
        <f t="shared" si="347"/>
        <v>-1459</v>
      </c>
      <c r="Q590" s="117"/>
      <c r="R590" s="117"/>
      <c r="S590" s="38">
        <f t="shared" si="348"/>
        <v>-1459</v>
      </c>
      <c r="T590" s="106"/>
      <c r="U590" s="116"/>
      <c r="V590" s="20">
        <f t="shared" si="349"/>
        <v>-1459</v>
      </c>
      <c r="W590" s="143"/>
    </row>
    <row r="591" spans="1:23" ht="15.75" customHeight="1">
      <c r="A591" s="114"/>
      <c r="B591" s="106"/>
      <c r="C591" s="107"/>
      <c r="D591" s="26">
        <f t="shared" si="343"/>
        <v>-1459</v>
      </c>
      <c r="E591" s="117"/>
      <c r="F591" s="117"/>
      <c r="G591" s="19">
        <f t="shared" si="344"/>
        <v>-1459</v>
      </c>
      <c r="H591" s="116"/>
      <c r="I591" s="107"/>
      <c r="J591" s="26">
        <f t="shared" si="345"/>
        <v>-1459</v>
      </c>
      <c r="K591" s="117"/>
      <c r="L591" s="117"/>
      <c r="M591" s="38">
        <f t="shared" si="346"/>
        <v>-1459</v>
      </c>
      <c r="N591" s="106"/>
      <c r="O591" s="107"/>
      <c r="P591" s="26">
        <f t="shared" si="347"/>
        <v>-1459</v>
      </c>
      <c r="Q591" s="117"/>
      <c r="R591" s="117"/>
      <c r="S591" s="38">
        <f t="shared" si="348"/>
        <v>-1459</v>
      </c>
      <c r="T591" s="106"/>
      <c r="U591" s="116"/>
      <c r="V591" s="20">
        <f t="shared" si="349"/>
        <v>-1459</v>
      </c>
      <c r="W591" s="143"/>
    </row>
    <row r="592" spans="1:23" ht="15.75" customHeight="1">
      <c r="A592" s="114"/>
      <c r="B592" s="122"/>
      <c r="C592" s="123"/>
      <c r="D592" s="26">
        <f t="shared" si="343"/>
        <v>-1459</v>
      </c>
      <c r="E592" s="117"/>
      <c r="F592" s="117"/>
      <c r="G592" s="19">
        <f t="shared" si="344"/>
        <v>-1459</v>
      </c>
      <c r="H592" s="124"/>
      <c r="I592" s="123"/>
      <c r="J592" s="26">
        <f t="shared" si="345"/>
        <v>-1459</v>
      </c>
      <c r="K592" s="117"/>
      <c r="L592" s="117"/>
      <c r="M592" s="38">
        <f t="shared" si="346"/>
        <v>-1459</v>
      </c>
      <c r="N592" s="122"/>
      <c r="O592" s="123"/>
      <c r="P592" s="26">
        <f t="shared" si="347"/>
        <v>-1459</v>
      </c>
      <c r="Q592" s="117"/>
      <c r="R592" s="117"/>
      <c r="S592" s="38">
        <f t="shared" si="348"/>
        <v>-1459</v>
      </c>
      <c r="T592" s="106"/>
      <c r="U592" s="116"/>
      <c r="V592" s="20">
        <f t="shared" si="349"/>
        <v>-1459</v>
      </c>
      <c r="W592" s="143"/>
    </row>
    <row r="593" spans="1:23" ht="15.75" customHeight="1">
      <c r="A593" s="114"/>
      <c r="B593" s="122"/>
      <c r="C593" s="123"/>
      <c r="D593" s="26">
        <f t="shared" si="343"/>
        <v>-1459</v>
      </c>
      <c r="E593" s="117"/>
      <c r="F593" s="117"/>
      <c r="G593" s="19">
        <f t="shared" si="344"/>
        <v>-1459</v>
      </c>
      <c r="H593" s="124"/>
      <c r="I593" s="123"/>
      <c r="J593" s="26">
        <f t="shared" si="345"/>
        <v>-1459</v>
      </c>
      <c r="K593" s="117"/>
      <c r="L593" s="117"/>
      <c r="M593" s="38">
        <f t="shared" si="346"/>
        <v>-1459</v>
      </c>
      <c r="N593" s="122"/>
      <c r="O593" s="123"/>
      <c r="P593" s="26">
        <f t="shared" si="347"/>
        <v>-1459</v>
      </c>
      <c r="Q593" s="117"/>
      <c r="R593" s="117"/>
      <c r="S593" s="38">
        <f t="shared" si="348"/>
        <v>-1459</v>
      </c>
      <c r="T593" s="122"/>
      <c r="U593" s="124"/>
      <c r="V593" s="20">
        <f t="shared" si="349"/>
        <v>-1459</v>
      </c>
      <c r="W593" s="143"/>
    </row>
    <row r="594" spans="1:23" ht="15.75" customHeight="1">
      <c r="A594" s="114"/>
      <c r="B594" s="122"/>
      <c r="C594" s="123"/>
      <c r="D594" s="39">
        <f t="shared" si="343"/>
        <v>-1459</v>
      </c>
      <c r="E594" s="128"/>
      <c r="F594" s="128"/>
      <c r="G594" s="55">
        <f t="shared" si="344"/>
        <v>-1459</v>
      </c>
      <c r="H594" s="124"/>
      <c r="I594" s="123"/>
      <c r="J594" s="39">
        <f t="shared" si="345"/>
        <v>-1459</v>
      </c>
      <c r="K594" s="128"/>
      <c r="L594" s="128"/>
      <c r="M594" s="40">
        <f t="shared" si="346"/>
        <v>-1459</v>
      </c>
      <c r="N594" s="122"/>
      <c r="O594" s="123"/>
      <c r="P594" s="39">
        <f t="shared" si="347"/>
        <v>-1459</v>
      </c>
      <c r="Q594" s="128"/>
      <c r="R594" s="128"/>
      <c r="S594" s="40">
        <f t="shared" si="348"/>
        <v>-1459</v>
      </c>
      <c r="T594" s="122"/>
      <c r="U594" s="123"/>
      <c r="V594" s="49">
        <f t="shared" si="349"/>
        <v>-1459</v>
      </c>
      <c r="W594" s="143"/>
    </row>
    <row r="595" spans="1:23" ht="15.75" customHeight="1">
      <c r="A595" s="87"/>
      <c r="B595" s="77">
        <f ca="1">IFERROR(__xludf.DUMMYFUNCTION("DATE(VALUE(LEFT($B$2,4)),VALUE(MID($B$2,6,2)),VALUE(RIGHT($B$2,2)))
+ (VALUE(REGEXEXTRACT(INDIRECT(""A""&amp;ROW()+1),""\d+""))-1)*7
+ INT((COLUMN()-COLUMN($B595))/3)
"),46369)</f>
        <v>46369</v>
      </c>
      <c r="C595" s="81"/>
      <c r="D595" s="82"/>
      <c r="E595" s="77">
        <f ca="1">IFERROR(__xludf.DUMMYFUNCTION("DATE(VALUE(LEFT($B$2,4)),VALUE(MID($B$2,6,2)),VALUE(RIGHT($B$2,2)))
+ (VALUE(REGEXEXTRACT(INDIRECT(""A""&amp;ROW()+1),""\d+""))-1)*7
+ INT((COLUMN()-COLUMN($B595))/3)
"),46370)</f>
        <v>46370</v>
      </c>
      <c r="F595" s="81"/>
      <c r="G595" s="82"/>
      <c r="H595" s="77">
        <f ca="1">IFERROR(__xludf.DUMMYFUNCTION("DATE(VALUE(LEFT($B$2,4)),VALUE(MID($B$2,6,2)),VALUE(RIGHT($B$2,2)))
+ (VALUE(REGEXEXTRACT(INDIRECT(""A""&amp;ROW()+1),""\d+""))-1)*7
+ INT((COLUMN()-COLUMN($B595))/3)
"),46371)</f>
        <v>46371</v>
      </c>
      <c r="I595" s="81"/>
      <c r="J595" s="82"/>
      <c r="K595" s="77">
        <f ca="1">IFERROR(__xludf.DUMMYFUNCTION("DATE(VALUE(LEFT($B$2,4)),VALUE(MID($B$2,6,2)),VALUE(RIGHT($B$2,2)))
+ (VALUE(REGEXEXTRACT(INDIRECT(""A""&amp;ROW()+1),""\d+""))-1)*7
+ INT((COLUMN()-COLUMN($B595))/3)
"),46372)</f>
        <v>46372</v>
      </c>
      <c r="L595" s="81"/>
      <c r="M595" s="82"/>
      <c r="N595" s="77">
        <f ca="1">IFERROR(__xludf.DUMMYFUNCTION("DATE(VALUE(LEFT($B$2,4)),VALUE(MID($B$2,6,2)),VALUE(RIGHT($B$2,2)))
+ (VALUE(REGEXEXTRACT(INDIRECT(""A""&amp;ROW()+1),""\d+""))-1)*7
+ INT((COLUMN()-COLUMN($B595))/3)
"),46373)</f>
        <v>46373</v>
      </c>
      <c r="O595" s="81"/>
      <c r="P595" s="82"/>
      <c r="Q595" s="77">
        <f ca="1">IFERROR(__xludf.DUMMYFUNCTION("DATE(VALUE(LEFT($B$2,4)),VALUE(MID($B$2,6,2)),VALUE(RIGHT($B$2,2)))
+ (VALUE(REGEXEXTRACT(INDIRECT(""A""&amp;ROW()+1),""\d+""))-1)*7
+ INT((COLUMN()-COLUMN($B595))/3)
"),46374)</f>
        <v>46374</v>
      </c>
      <c r="R595" s="81"/>
      <c r="S595" s="82"/>
      <c r="T595" s="77">
        <f ca="1">IFERROR(__xludf.DUMMYFUNCTION("DATE(VALUE(LEFT($B$2,4)),VALUE(MID($B$2,6,2)),VALUE(RIGHT($B$2,2)))
+ (VALUE(REGEXEXTRACT(INDIRECT(""A""&amp;ROW()+1),""\d+""))-1)*7
+ INT((COLUMN()-COLUMN($B595))/3)
"),46375)</f>
        <v>46375</v>
      </c>
      <c r="U595" s="81"/>
      <c r="V595" s="82"/>
      <c r="W595" s="52" t="s">
        <v>20</v>
      </c>
    </row>
    <row r="596" spans="1:23" ht="15.75" customHeight="1">
      <c r="A596" s="47" t="s">
        <v>179</v>
      </c>
      <c r="B596" s="109"/>
      <c r="C596" s="109"/>
      <c r="D596" s="42">
        <f>V594+C596</f>
        <v>-1459</v>
      </c>
      <c r="E596" s="112"/>
      <c r="F596" s="111"/>
      <c r="G596" s="36">
        <f>D606+F596</f>
        <v>-1459</v>
      </c>
      <c r="H596" s="132"/>
      <c r="I596" s="109"/>
      <c r="J596" s="42">
        <f>G606+I596</f>
        <v>-1459</v>
      </c>
      <c r="K596" s="112"/>
      <c r="L596" s="111"/>
      <c r="M596" s="18">
        <f>J606+L596</f>
        <v>-1459</v>
      </c>
      <c r="N596" s="113"/>
      <c r="O596" s="109"/>
      <c r="P596" s="35">
        <f>M606+O596</f>
        <v>-1459</v>
      </c>
      <c r="Q596" s="112"/>
      <c r="R596" s="111"/>
      <c r="S596" s="36">
        <f>P606+R596</f>
        <v>-1459</v>
      </c>
      <c r="T596" s="176"/>
      <c r="U596" s="173"/>
      <c r="V596" s="50">
        <f>S606+U596</f>
        <v>-1459</v>
      </c>
      <c r="W596" s="172"/>
    </row>
    <row r="597" spans="1:23" ht="15.75" customHeight="1">
      <c r="A597" s="114"/>
      <c r="B597" s="117"/>
      <c r="C597" s="117"/>
      <c r="D597" s="19">
        <f t="shared" ref="D597:D606" si="350">D596+C597</f>
        <v>-1459</v>
      </c>
      <c r="E597" s="106"/>
      <c r="F597" s="107"/>
      <c r="G597" s="26">
        <f t="shared" ref="G597:G606" si="351">G596+F597</f>
        <v>-1459</v>
      </c>
      <c r="H597" s="133"/>
      <c r="I597" s="117"/>
      <c r="J597" s="19">
        <f t="shared" ref="J597:J606" si="352">J596+I597</f>
        <v>-1459</v>
      </c>
      <c r="K597" s="106"/>
      <c r="L597" s="107"/>
      <c r="M597" s="26">
        <f t="shared" ref="M597:M606" si="353">M596+L597</f>
        <v>-1459</v>
      </c>
      <c r="N597" s="118"/>
      <c r="O597" s="117"/>
      <c r="P597" s="38">
        <f t="shared" ref="P597:P606" si="354">P596+O597</f>
        <v>-1459</v>
      </c>
      <c r="Q597" s="106"/>
      <c r="R597" s="107"/>
      <c r="S597" s="26">
        <f t="shared" ref="S597:S606" si="355">S596+R597</f>
        <v>-1459</v>
      </c>
      <c r="T597" s="177"/>
      <c r="U597" s="136"/>
      <c r="V597" s="45">
        <f t="shared" ref="V597:V606" si="356">V596+U597</f>
        <v>-1459</v>
      </c>
      <c r="W597" s="143"/>
    </row>
    <row r="598" spans="1:23" ht="15.75" customHeight="1">
      <c r="A598" s="114"/>
      <c r="B598" s="118"/>
      <c r="C598" s="117"/>
      <c r="D598" s="19">
        <f t="shared" si="350"/>
        <v>-1459</v>
      </c>
      <c r="E598" s="106"/>
      <c r="F598" s="107"/>
      <c r="G598" s="26">
        <f t="shared" si="351"/>
        <v>-1459</v>
      </c>
      <c r="H598" s="133"/>
      <c r="I598" s="117"/>
      <c r="J598" s="19">
        <f t="shared" si="352"/>
        <v>-1459</v>
      </c>
      <c r="K598" s="106"/>
      <c r="L598" s="107"/>
      <c r="M598" s="26">
        <f t="shared" si="353"/>
        <v>-1459</v>
      </c>
      <c r="N598" s="117"/>
      <c r="O598" s="117"/>
      <c r="P598" s="38">
        <f t="shared" si="354"/>
        <v>-1459</v>
      </c>
      <c r="Q598" s="106"/>
      <c r="R598" s="107"/>
      <c r="S598" s="26">
        <f t="shared" si="355"/>
        <v>-1459</v>
      </c>
      <c r="T598" s="136"/>
      <c r="U598" s="136"/>
      <c r="V598" s="45">
        <f t="shared" si="356"/>
        <v>-1459</v>
      </c>
      <c r="W598" s="143"/>
    </row>
    <row r="599" spans="1:23" ht="15.75" customHeight="1">
      <c r="A599" s="114"/>
      <c r="B599" s="118"/>
      <c r="C599" s="117"/>
      <c r="D599" s="19">
        <f t="shared" si="350"/>
        <v>-1459</v>
      </c>
      <c r="E599" s="106"/>
      <c r="F599" s="107"/>
      <c r="G599" s="26">
        <f t="shared" si="351"/>
        <v>-1459</v>
      </c>
      <c r="H599" s="133"/>
      <c r="I599" s="117"/>
      <c r="J599" s="19">
        <f t="shared" si="352"/>
        <v>-1459</v>
      </c>
      <c r="K599" s="106"/>
      <c r="L599" s="107"/>
      <c r="M599" s="26">
        <f t="shared" si="353"/>
        <v>-1459</v>
      </c>
      <c r="N599" s="117"/>
      <c r="O599" s="117"/>
      <c r="P599" s="38">
        <f t="shared" si="354"/>
        <v>-1459</v>
      </c>
      <c r="Q599" s="106"/>
      <c r="R599" s="107"/>
      <c r="S599" s="26">
        <f t="shared" si="355"/>
        <v>-1459</v>
      </c>
      <c r="T599" s="136"/>
      <c r="U599" s="136"/>
      <c r="V599" s="45">
        <f t="shared" si="356"/>
        <v>-1459</v>
      </c>
      <c r="W599" s="143"/>
    </row>
    <row r="600" spans="1:23" ht="15.75" customHeight="1">
      <c r="A600" s="114"/>
      <c r="B600" s="118"/>
      <c r="C600" s="117"/>
      <c r="D600" s="19">
        <f t="shared" si="350"/>
        <v>-1459</v>
      </c>
      <c r="E600" s="106"/>
      <c r="F600" s="107"/>
      <c r="G600" s="26">
        <f t="shared" si="351"/>
        <v>-1459</v>
      </c>
      <c r="H600" s="133"/>
      <c r="I600" s="117"/>
      <c r="J600" s="19">
        <f t="shared" si="352"/>
        <v>-1459</v>
      </c>
      <c r="K600" s="106"/>
      <c r="L600" s="107"/>
      <c r="M600" s="26">
        <f t="shared" si="353"/>
        <v>-1459</v>
      </c>
      <c r="N600" s="117"/>
      <c r="O600" s="117"/>
      <c r="P600" s="38">
        <f t="shared" si="354"/>
        <v>-1459</v>
      </c>
      <c r="Q600" s="106"/>
      <c r="R600" s="107"/>
      <c r="S600" s="26">
        <f t="shared" si="355"/>
        <v>-1459</v>
      </c>
      <c r="T600" s="136"/>
      <c r="U600" s="136"/>
      <c r="V600" s="45">
        <f t="shared" si="356"/>
        <v>-1459</v>
      </c>
      <c r="W600" s="143"/>
    </row>
    <row r="601" spans="1:23" ht="15.75" customHeight="1">
      <c r="A601" s="114"/>
      <c r="B601" s="118"/>
      <c r="C601" s="117"/>
      <c r="D601" s="19">
        <f t="shared" si="350"/>
        <v>-1459</v>
      </c>
      <c r="E601" s="106"/>
      <c r="F601" s="107"/>
      <c r="G601" s="26">
        <f t="shared" si="351"/>
        <v>-1459</v>
      </c>
      <c r="H601" s="133"/>
      <c r="I601" s="117"/>
      <c r="J601" s="19">
        <f t="shared" si="352"/>
        <v>-1459</v>
      </c>
      <c r="K601" s="106"/>
      <c r="L601" s="107"/>
      <c r="M601" s="26">
        <f t="shared" si="353"/>
        <v>-1459</v>
      </c>
      <c r="N601" s="117"/>
      <c r="O601" s="117"/>
      <c r="P601" s="38">
        <f t="shared" si="354"/>
        <v>-1459</v>
      </c>
      <c r="Q601" s="106"/>
      <c r="R601" s="107"/>
      <c r="S601" s="26">
        <f t="shared" si="355"/>
        <v>-1459</v>
      </c>
      <c r="T601" s="136"/>
      <c r="U601" s="136"/>
      <c r="V601" s="45">
        <f t="shared" si="356"/>
        <v>-1459</v>
      </c>
      <c r="W601" s="143"/>
    </row>
    <row r="602" spans="1:23" ht="15.75" customHeight="1">
      <c r="A602" s="114"/>
      <c r="B602" s="118"/>
      <c r="C602" s="117"/>
      <c r="D602" s="19">
        <f t="shared" si="350"/>
        <v>-1459</v>
      </c>
      <c r="E602" s="106"/>
      <c r="F602" s="107"/>
      <c r="G602" s="26">
        <f t="shared" si="351"/>
        <v>-1459</v>
      </c>
      <c r="H602" s="133"/>
      <c r="I602" s="117"/>
      <c r="J602" s="19">
        <f t="shared" si="352"/>
        <v>-1459</v>
      </c>
      <c r="K602" s="106"/>
      <c r="L602" s="107"/>
      <c r="M602" s="26">
        <f t="shared" si="353"/>
        <v>-1459</v>
      </c>
      <c r="N602" s="117"/>
      <c r="O602" s="117"/>
      <c r="P602" s="38">
        <f t="shared" si="354"/>
        <v>-1459</v>
      </c>
      <c r="Q602" s="106"/>
      <c r="R602" s="107"/>
      <c r="S602" s="26">
        <f t="shared" si="355"/>
        <v>-1459</v>
      </c>
      <c r="T602" s="136"/>
      <c r="U602" s="136"/>
      <c r="V602" s="45">
        <f t="shared" si="356"/>
        <v>-1459</v>
      </c>
      <c r="W602" s="143"/>
    </row>
    <row r="603" spans="1:23" ht="15.75" customHeight="1">
      <c r="A603" s="114"/>
      <c r="B603" s="118"/>
      <c r="C603" s="117"/>
      <c r="D603" s="19">
        <f t="shared" si="350"/>
        <v>-1459</v>
      </c>
      <c r="E603" s="106"/>
      <c r="F603" s="107"/>
      <c r="G603" s="26">
        <f t="shared" si="351"/>
        <v>-1459</v>
      </c>
      <c r="H603" s="133"/>
      <c r="I603" s="117"/>
      <c r="J603" s="19">
        <f t="shared" si="352"/>
        <v>-1459</v>
      </c>
      <c r="K603" s="106"/>
      <c r="L603" s="107"/>
      <c r="M603" s="26">
        <f t="shared" si="353"/>
        <v>-1459</v>
      </c>
      <c r="N603" s="117"/>
      <c r="O603" s="117"/>
      <c r="P603" s="38">
        <f t="shared" si="354"/>
        <v>-1459</v>
      </c>
      <c r="Q603" s="106"/>
      <c r="R603" s="107"/>
      <c r="S603" s="26">
        <f t="shared" si="355"/>
        <v>-1459</v>
      </c>
      <c r="T603" s="136"/>
      <c r="U603" s="136"/>
      <c r="V603" s="45">
        <f t="shared" si="356"/>
        <v>-1459</v>
      </c>
      <c r="W603" s="143"/>
    </row>
    <row r="604" spans="1:23" ht="15.75" customHeight="1">
      <c r="A604" s="114"/>
      <c r="B604" s="117"/>
      <c r="C604" s="117"/>
      <c r="D604" s="19">
        <f t="shared" si="350"/>
        <v>-1459</v>
      </c>
      <c r="E604" s="106"/>
      <c r="F604" s="107"/>
      <c r="G604" s="26">
        <f t="shared" si="351"/>
        <v>-1459</v>
      </c>
      <c r="H604" s="133"/>
      <c r="I604" s="117"/>
      <c r="J604" s="19">
        <f t="shared" si="352"/>
        <v>-1459</v>
      </c>
      <c r="K604" s="106"/>
      <c r="L604" s="107"/>
      <c r="M604" s="26">
        <f t="shared" si="353"/>
        <v>-1459</v>
      </c>
      <c r="N604" s="117"/>
      <c r="O604" s="117"/>
      <c r="P604" s="38">
        <f t="shared" si="354"/>
        <v>-1459</v>
      </c>
      <c r="Q604" s="106"/>
      <c r="R604" s="107"/>
      <c r="S604" s="26">
        <f t="shared" si="355"/>
        <v>-1459</v>
      </c>
      <c r="T604" s="136"/>
      <c r="U604" s="136"/>
      <c r="V604" s="45">
        <f t="shared" si="356"/>
        <v>-1459</v>
      </c>
      <c r="W604" s="143"/>
    </row>
    <row r="605" spans="1:23" ht="15.75" customHeight="1">
      <c r="A605" s="114"/>
      <c r="B605" s="117"/>
      <c r="C605" s="117"/>
      <c r="D605" s="19">
        <f t="shared" si="350"/>
        <v>-1459</v>
      </c>
      <c r="E605" s="122"/>
      <c r="F605" s="123"/>
      <c r="G605" s="26">
        <f t="shared" si="351"/>
        <v>-1459</v>
      </c>
      <c r="H605" s="133"/>
      <c r="I605" s="117"/>
      <c r="J605" s="19">
        <f t="shared" si="352"/>
        <v>-1459</v>
      </c>
      <c r="K605" s="122"/>
      <c r="L605" s="123"/>
      <c r="M605" s="26">
        <f t="shared" si="353"/>
        <v>-1459</v>
      </c>
      <c r="N605" s="117"/>
      <c r="O605" s="117"/>
      <c r="P605" s="38">
        <f t="shared" si="354"/>
        <v>-1459</v>
      </c>
      <c r="Q605" s="122"/>
      <c r="R605" s="123"/>
      <c r="S605" s="26">
        <f t="shared" si="355"/>
        <v>-1459</v>
      </c>
      <c r="T605" s="136"/>
      <c r="U605" s="136"/>
      <c r="V605" s="45">
        <f t="shared" si="356"/>
        <v>-1459</v>
      </c>
      <c r="W605" s="143"/>
    </row>
    <row r="606" spans="1:23" ht="15.75" customHeight="1">
      <c r="A606" s="114"/>
      <c r="B606" s="128"/>
      <c r="C606" s="128"/>
      <c r="D606" s="29">
        <f t="shared" si="350"/>
        <v>-1459</v>
      </c>
      <c r="E606" s="122"/>
      <c r="F606" s="123"/>
      <c r="G606" s="53">
        <f t="shared" si="351"/>
        <v>-1459</v>
      </c>
      <c r="H606" s="140"/>
      <c r="I606" s="128"/>
      <c r="J606" s="29">
        <f t="shared" si="352"/>
        <v>-1459</v>
      </c>
      <c r="K606" s="122"/>
      <c r="L606" s="123"/>
      <c r="M606" s="39">
        <f t="shared" si="353"/>
        <v>-1459</v>
      </c>
      <c r="N606" s="128"/>
      <c r="O606" s="128"/>
      <c r="P606" s="40">
        <f t="shared" si="354"/>
        <v>-1459</v>
      </c>
      <c r="Q606" s="122"/>
      <c r="R606" s="123"/>
      <c r="S606" s="39">
        <f t="shared" si="355"/>
        <v>-1459</v>
      </c>
      <c r="T606" s="141"/>
      <c r="U606" s="141"/>
      <c r="V606" s="46">
        <f t="shared" si="356"/>
        <v>-1459</v>
      </c>
      <c r="W606" s="143"/>
    </row>
    <row r="607" spans="1:23" ht="15.75" customHeight="1">
      <c r="A607" s="87"/>
      <c r="B607" s="77">
        <f ca="1">IFERROR(__xludf.DUMMYFUNCTION("DATE(VALUE(LEFT($B$2,4)),VALUE(MID($B$2,6,2)),VALUE(RIGHT($B$2,2)))
+ (VALUE(REGEXEXTRACT(INDIRECT(""A""&amp;ROW()+1),""\d+""))-1)*7
+ INT((COLUMN()-COLUMN($B607))/3)
"),46376)</f>
        <v>46376</v>
      </c>
      <c r="C607" s="81"/>
      <c r="D607" s="82"/>
      <c r="E607" s="77">
        <f ca="1">IFERROR(__xludf.DUMMYFUNCTION("DATE(VALUE(LEFT($B$2,4)),VALUE(MID($B$2,6,2)),VALUE(RIGHT($B$2,2)))
+ (VALUE(REGEXEXTRACT(INDIRECT(""A""&amp;ROW()+1),""\d+""))-1)*7
+ INT((COLUMN()-COLUMN($B607))/3)
"),46377)</f>
        <v>46377</v>
      </c>
      <c r="F607" s="81"/>
      <c r="G607" s="82"/>
      <c r="H607" s="77">
        <f ca="1">IFERROR(__xludf.DUMMYFUNCTION("DATE(VALUE(LEFT($B$2,4)),VALUE(MID($B$2,6,2)),VALUE(RIGHT($B$2,2)))
+ (VALUE(REGEXEXTRACT(INDIRECT(""A""&amp;ROW()+1),""\d+""))-1)*7
+ INT((COLUMN()-COLUMN($B607))/3)
"),46378)</f>
        <v>46378</v>
      </c>
      <c r="I607" s="81"/>
      <c r="J607" s="82"/>
      <c r="K607" s="77">
        <f ca="1">IFERROR(__xludf.DUMMYFUNCTION("DATE(VALUE(LEFT($B$2,4)),VALUE(MID($B$2,6,2)),VALUE(RIGHT($B$2,2)))
+ (VALUE(REGEXEXTRACT(INDIRECT(""A""&amp;ROW()+1),""\d+""))-1)*7
+ INT((COLUMN()-COLUMN($B607))/3)
"),46379)</f>
        <v>46379</v>
      </c>
      <c r="L607" s="81"/>
      <c r="M607" s="82"/>
      <c r="N607" s="77">
        <f ca="1">IFERROR(__xludf.DUMMYFUNCTION("DATE(VALUE(LEFT($B$2,4)),VALUE(MID($B$2,6,2)),VALUE(RIGHT($B$2,2)))
+ (VALUE(REGEXEXTRACT(INDIRECT(""A""&amp;ROW()+1),""\d+""))-1)*7
+ INT((COLUMN()-COLUMN($B607))/3)
"),46380)</f>
        <v>46380</v>
      </c>
      <c r="O607" s="81"/>
      <c r="P607" s="82"/>
      <c r="Q607" s="77">
        <f ca="1">IFERROR(__xludf.DUMMYFUNCTION("DATE(VALUE(LEFT($B$2,4)),VALUE(MID($B$2,6,2)),VALUE(RIGHT($B$2,2)))
+ (VALUE(REGEXEXTRACT(INDIRECT(""A""&amp;ROW()+1),""\d+""))-1)*7
+ INT((COLUMN()-COLUMN($B607))/3)
"),46381)</f>
        <v>46381</v>
      </c>
      <c r="R607" s="81"/>
      <c r="S607" s="82"/>
      <c r="T607" s="77">
        <f ca="1">IFERROR(__xludf.DUMMYFUNCTION("DATE(VALUE(LEFT($B$2,4)),VALUE(MID($B$2,6,2)),VALUE(RIGHT($B$2,2)))
+ (VALUE(REGEXEXTRACT(INDIRECT(""A""&amp;ROW()+1),""\d+""))-1)*7
+ INT((COLUMN()-COLUMN($B607))/3)
"),46382)</f>
        <v>46382</v>
      </c>
      <c r="U607" s="81"/>
      <c r="V607" s="82"/>
      <c r="W607" s="143"/>
    </row>
    <row r="608" spans="1:23" ht="15.75" customHeight="1">
      <c r="A608" s="51" t="s">
        <v>180</v>
      </c>
      <c r="B608" s="112"/>
      <c r="C608" s="111"/>
      <c r="D608" s="17">
        <f>V606+C608</f>
        <v>-1459</v>
      </c>
      <c r="E608" s="109"/>
      <c r="F608" s="109"/>
      <c r="G608" s="54">
        <f>D618+F608</f>
        <v>-1459</v>
      </c>
      <c r="H608" s="110"/>
      <c r="I608" s="111"/>
      <c r="J608" s="17">
        <f>G618+I608</f>
        <v>-1459</v>
      </c>
      <c r="K608" s="109"/>
      <c r="L608" s="109"/>
      <c r="M608" s="35">
        <f>J618+L608</f>
        <v>-1459</v>
      </c>
      <c r="N608" s="112"/>
      <c r="O608" s="111"/>
      <c r="P608" s="17">
        <f>M618+O608</f>
        <v>-1459</v>
      </c>
      <c r="Q608" s="109"/>
      <c r="R608" s="109"/>
      <c r="S608" s="35">
        <f>P618+R608</f>
        <v>-1459</v>
      </c>
      <c r="T608" s="112"/>
      <c r="U608" s="111"/>
      <c r="V608" s="48">
        <f>S618+U608</f>
        <v>-1459</v>
      </c>
      <c r="W608" s="143"/>
    </row>
    <row r="609" spans="1:23" ht="15.75" customHeight="1">
      <c r="A609" s="114"/>
      <c r="B609" s="106"/>
      <c r="C609" s="107"/>
      <c r="D609" s="26">
        <f t="shared" ref="D609:D618" si="357">D608+C609</f>
        <v>-1459</v>
      </c>
      <c r="E609" s="117"/>
      <c r="F609" s="117"/>
      <c r="G609" s="19">
        <f t="shared" ref="G609:G618" si="358">G608+F609</f>
        <v>-1459</v>
      </c>
      <c r="H609" s="116"/>
      <c r="I609" s="107"/>
      <c r="J609" s="26">
        <f t="shared" ref="J609:J618" si="359">J608+I609</f>
        <v>-1459</v>
      </c>
      <c r="K609" s="117"/>
      <c r="L609" s="117"/>
      <c r="M609" s="38">
        <f t="shared" ref="M609:M618" si="360">M608+L609</f>
        <v>-1459</v>
      </c>
      <c r="N609" s="106"/>
      <c r="O609" s="107"/>
      <c r="P609" s="26">
        <f t="shared" ref="P609:P618" si="361">P608+O609</f>
        <v>-1459</v>
      </c>
      <c r="Q609" s="117"/>
      <c r="R609" s="117"/>
      <c r="S609" s="38">
        <f t="shared" ref="S609:S618" si="362">S608+R609</f>
        <v>-1459</v>
      </c>
      <c r="T609" s="106"/>
      <c r="U609" s="107"/>
      <c r="V609" s="20">
        <f t="shared" ref="V609:V618" si="363">V608+U609</f>
        <v>-1459</v>
      </c>
      <c r="W609" s="143"/>
    </row>
    <row r="610" spans="1:23" ht="15.75" customHeight="1">
      <c r="A610" s="114"/>
      <c r="B610" s="106"/>
      <c r="C610" s="107"/>
      <c r="D610" s="26">
        <f t="shared" si="357"/>
        <v>-1459</v>
      </c>
      <c r="E610" s="117"/>
      <c r="F610" s="117"/>
      <c r="G610" s="19">
        <f t="shared" si="358"/>
        <v>-1459</v>
      </c>
      <c r="H610" s="116"/>
      <c r="I610" s="107"/>
      <c r="J610" s="26">
        <f t="shared" si="359"/>
        <v>-1459</v>
      </c>
      <c r="K610" s="117"/>
      <c r="L610" s="117"/>
      <c r="M610" s="38">
        <f t="shared" si="360"/>
        <v>-1459</v>
      </c>
      <c r="N610" s="106"/>
      <c r="O610" s="107"/>
      <c r="P610" s="26">
        <f t="shared" si="361"/>
        <v>-1459</v>
      </c>
      <c r="Q610" s="117"/>
      <c r="R610" s="117"/>
      <c r="S610" s="38">
        <f t="shared" si="362"/>
        <v>-1459</v>
      </c>
      <c r="T610" s="106"/>
      <c r="U610" s="116"/>
      <c r="V610" s="20">
        <f t="shared" si="363"/>
        <v>-1459</v>
      </c>
      <c r="W610" s="143"/>
    </row>
    <row r="611" spans="1:23" ht="15.75" customHeight="1">
      <c r="A611" s="114"/>
      <c r="B611" s="106"/>
      <c r="C611" s="107"/>
      <c r="D611" s="26">
        <f t="shared" si="357"/>
        <v>-1459</v>
      </c>
      <c r="E611" s="117"/>
      <c r="F611" s="117"/>
      <c r="G611" s="19">
        <f t="shared" si="358"/>
        <v>-1459</v>
      </c>
      <c r="H611" s="116"/>
      <c r="I611" s="107"/>
      <c r="J611" s="26">
        <f t="shared" si="359"/>
        <v>-1459</v>
      </c>
      <c r="K611" s="117"/>
      <c r="L611" s="117"/>
      <c r="M611" s="38">
        <f t="shared" si="360"/>
        <v>-1459</v>
      </c>
      <c r="N611" s="106"/>
      <c r="O611" s="107"/>
      <c r="P611" s="26">
        <f t="shared" si="361"/>
        <v>-1459</v>
      </c>
      <c r="Q611" s="117"/>
      <c r="R611" s="117"/>
      <c r="S611" s="38">
        <f t="shared" si="362"/>
        <v>-1459</v>
      </c>
      <c r="T611" s="106"/>
      <c r="U611" s="116"/>
      <c r="V611" s="20">
        <f t="shared" si="363"/>
        <v>-1459</v>
      </c>
      <c r="W611" s="143"/>
    </row>
    <row r="612" spans="1:23" ht="15.75" customHeight="1">
      <c r="A612" s="114"/>
      <c r="B612" s="106"/>
      <c r="C612" s="107"/>
      <c r="D612" s="26">
        <f t="shared" si="357"/>
        <v>-1459</v>
      </c>
      <c r="E612" s="117"/>
      <c r="F612" s="117"/>
      <c r="G612" s="19">
        <f t="shared" si="358"/>
        <v>-1459</v>
      </c>
      <c r="H612" s="116"/>
      <c r="I612" s="107"/>
      <c r="J612" s="26">
        <f t="shared" si="359"/>
        <v>-1459</v>
      </c>
      <c r="K612" s="117"/>
      <c r="L612" s="117"/>
      <c r="M612" s="38">
        <f t="shared" si="360"/>
        <v>-1459</v>
      </c>
      <c r="N612" s="106"/>
      <c r="O612" s="107"/>
      <c r="P612" s="26">
        <f t="shared" si="361"/>
        <v>-1459</v>
      </c>
      <c r="Q612" s="117"/>
      <c r="R612" s="117"/>
      <c r="S612" s="38">
        <f t="shared" si="362"/>
        <v>-1459</v>
      </c>
      <c r="T612" s="106"/>
      <c r="U612" s="116"/>
      <c r="V612" s="20">
        <f t="shared" si="363"/>
        <v>-1459</v>
      </c>
      <c r="W612" s="143"/>
    </row>
    <row r="613" spans="1:23" ht="15.75" customHeight="1">
      <c r="A613" s="114"/>
      <c r="B613" s="106"/>
      <c r="C613" s="107"/>
      <c r="D613" s="26">
        <f t="shared" si="357"/>
        <v>-1459</v>
      </c>
      <c r="E613" s="117"/>
      <c r="F613" s="117"/>
      <c r="G613" s="19">
        <f t="shared" si="358"/>
        <v>-1459</v>
      </c>
      <c r="H613" s="116"/>
      <c r="I613" s="107"/>
      <c r="J613" s="26">
        <f t="shared" si="359"/>
        <v>-1459</v>
      </c>
      <c r="K613" s="117"/>
      <c r="L613" s="117"/>
      <c r="M613" s="38">
        <f t="shared" si="360"/>
        <v>-1459</v>
      </c>
      <c r="N613" s="106"/>
      <c r="O613" s="107"/>
      <c r="P613" s="26">
        <f t="shared" si="361"/>
        <v>-1459</v>
      </c>
      <c r="Q613" s="117"/>
      <c r="R613" s="117"/>
      <c r="S613" s="38">
        <f t="shared" si="362"/>
        <v>-1459</v>
      </c>
      <c r="T613" s="106"/>
      <c r="U613" s="116"/>
      <c r="V613" s="20">
        <f t="shared" si="363"/>
        <v>-1459</v>
      </c>
      <c r="W613" s="143"/>
    </row>
    <row r="614" spans="1:23" ht="15.75" customHeight="1">
      <c r="A614" s="114"/>
      <c r="B614" s="106"/>
      <c r="C614" s="107"/>
      <c r="D614" s="26">
        <f t="shared" si="357"/>
        <v>-1459</v>
      </c>
      <c r="E614" s="117"/>
      <c r="F614" s="117"/>
      <c r="G614" s="19">
        <f t="shared" si="358"/>
        <v>-1459</v>
      </c>
      <c r="H614" s="116"/>
      <c r="I614" s="107"/>
      <c r="J614" s="26">
        <f t="shared" si="359"/>
        <v>-1459</v>
      </c>
      <c r="K614" s="117"/>
      <c r="L614" s="117"/>
      <c r="M614" s="38">
        <f t="shared" si="360"/>
        <v>-1459</v>
      </c>
      <c r="N614" s="106"/>
      <c r="O614" s="107"/>
      <c r="P614" s="26">
        <f t="shared" si="361"/>
        <v>-1459</v>
      </c>
      <c r="Q614" s="117"/>
      <c r="R614" s="117"/>
      <c r="S614" s="38">
        <f t="shared" si="362"/>
        <v>-1459</v>
      </c>
      <c r="T614" s="106"/>
      <c r="U614" s="116"/>
      <c r="V614" s="20">
        <f t="shared" si="363"/>
        <v>-1459</v>
      </c>
      <c r="W614" s="143"/>
    </row>
    <row r="615" spans="1:23" ht="15.75" customHeight="1">
      <c r="A615" s="114"/>
      <c r="B615" s="106"/>
      <c r="C615" s="107"/>
      <c r="D615" s="26">
        <f t="shared" si="357"/>
        <v>-1459</v>
      </c>
      <c r="E615" s="117"/>
      <c r="F615" s="117"/>
      <c r="G615" s="19">
        <f t="shared" si="358"/>
        <v>-1459</v>
      </c>
      <c r="H615" s="116"/>
      <c r="I615" s="107"/>
      <c r="J615" s="26">
        <f t="shared" si="359"/>
        <v>-1459</v>
      </c>
      <c r="K615" s="117"/>
      <c r="L615" s="117"/>
      <c r="M615" s="38">
        <f t="shared" si="360"/>
        <v>-1459</v>
      </c>
      <c r="N615" s="106"/>
      <c r="O615" s="107"/>
      <c r="P615" s="26">
        <f t="shared" si="361"/>
        <v>-1459</v>
      </c>
      <c r="Q615" s="117"/>
      <c r="R615" s="117"/>
      <c r="S615" s="38">
        <f t="shared" si="362"/>
        <v>-1459</v>
      </c>
      <c r="T615" s="106"/>
      <c r="U615" s="116"/>
      <c r="V615" s="20">
        <f t="shared" si="363"/>
        <v>-1459</v>
      </c>
      <c r="W615" s="143"/>
    </row>
    <row r="616" spans="1:23" ht="15.75" customHeight="1">
      <c r="A616" s="114"/>
      <c r="B616" s="122"/>
      <c r="C616" s="123"/>
      <c r="D616" s="26">
        <f t="shared" si="357"/>
        <v>-1459</v>
      </c>
      <c r="E616" s="117"/>
      <c r="F616" s="117"/>
      <c r="G616" s="19">
        <f t="shared" si="358"/>
        <v>-1459</v>
      </c>
      <c r="H616" s="124"/>
      <c r="I616" s="123"/>
      <c r="J616" s="26">
        <f t="shared" si="359"/>
        <v>-1459</v>
      </c>
      <c r="K616" s="117"/>
      <c r="L616" s="117"/>
      <c r="M616" s="38">
        <f t="shared" si="360"/>
        <v>-1459</v>
      </c>
      <c r="N616" s="122"/>
      <c r="O616" s="123"/>
      <c r="P616" s="26">
        <f t="shared" si="361"/>
        <v>-1459</v>
      </c>
      <c r="Q616" s="117"/>
      <c r="R616" s="117"/>
      <c r="S616" s="38">
        <f t="shared" si="362"/>
        <v>-1459</v>
      </c>
      <c r="T616" s="106"/>
      <c r="U616" s="116"/>
      <c r="V616" s="20">
        <f t="shared" si="363"/>
        <v>-1459</v>
      </c>
      <c r="W616" s="143"/>
    </row>
    <row r="617" spans="1:23" ht="15.75" customHeight="1">
      <c r="A617" s="114"/>
      <c r="B617" s="122"/>
      <c r="C617" s="123"/>
      <c r="D617" s="26">
        <f t="shared" si="357"/>
        <v>-1459</v>
      </c>
      <c r="E617" s="117"/>
      <c r="F617" s="117"/>
      <c r="G617" s="19">
        <f t="shared" si="358"/>
        <v>-1459</v>
      </c>
      <c r="H617" s="124"/>
      <c r="I617" s="123"/>
      <c r="J617" s="26">
        <f t="shared" si="359"/>
        <v>-1459</v>
      </c>
      <c r="K617" s="117"/>
      <c r="L617" s="117"/>
      <c r="M617" s="38">
        <f t="shared" si="360"/>
        <v>-1459</v>
      </c>
      <c r="N617" s="122"/>
      <c r="O617" s="123"/>
      <c r="P617" s="26">
        <f t="shared" si="361"/>
        <v>-1459</v>
      </c>
      <c r="Q617" s="117"/>
      <c r="R617" s="117"/>
      <c r="S617" s="38">
        <f t="shared" si="362"/>
        <v>-1459</v>
      </c>
      <c r="T617" s="122"/>
      <c r="U617" s="124"/>
      <c r="V617" s="20">
        <f t="shared" si="363"/>
        <v>-1459</v>
      </c>
      <c r="W617" s="143"/>
    </row>
    <row r="618" spans="1:23" ht="15.75" customHeight="1">
      <c r="A618" s="114"/>
      <c r="B618" s="122"/>
      <c r="C618" s="123"/>
      <c r="D618" s="39">
        <f t="shared" si="357"/>
        <v>-1459</v>
      </c>
      <c r="E618" s="128"/>
      <c r="F618" s="128"/>
      <c r="G618" s="55">
        <f t="shared" si="358"/>
        <v>-1459</v>
      </c>
      <c r="H618" s="124"/>
      <c r="I618" s="123"/>
      <c r="J618" s="39">
        <f t="shared" si="359"/>
        <v>-1459</v>
      </c>
      <c r="K618" s="128"/>
      <c r="L618" s="128"/>
      <c r="M618" s="40">
        <f t="shared" si="360"/>
        <v>-1459</v>
      </c>
      <c r="N618" s="122"/>
      <c r="O618" s="123"/>
      <c r="P618" s="39">
        <f t="shared" si="361"/>
        <v>-1459</v>
      </c>
      <c r="Q618" s="128"/>
      <c r="R618" s="128"/>
      <c r="S618" s="40">
        <f t="shared" si="362"/>
        <v>-1459</v>
      </c>
      <c r="T618" s="122"/>
      <c r="U618" s="123"/>
      <c r="V618" s="49">
        <f t="shared" si="363"/>
        <v>-1459</v>
      </c>
      <c r="W618" s="143"/>
    </row>
    <row r="619" spans="1:23" ht="15.75" customHeight="1">
      <c r="A619" s="87"/>
      <c r="B619" s="77">
        <f ca="1">IFERROR(__xludf.DUMMYFUNCTION("DATE(VALUE(LEFT($B$2,4)),VALUE(MID($B$2,6,2)),VALUE(RIGHT($B$2,2)))
+ (VALUE(REGEXEXTRACT(INDIRECT(""A""&amp;ROW()+1),""\d+""))-1)*7
+ INT((COLUMN()-COLUMN($B619))/3)
"),46383)</f>
        <v>46383</v>
      </c>
      <c r="C619" s="81"/>
      <c r="D619" s="82"/>
      <c r="E619" s="77">
        <f ca="1">IFERROR(__xludf.DUMMYFUNCTION("DATE(VALUE(LEFT($B$2,4)),VALUE(MID($B$2,6,2)),VALUE(RIGHT($B$2,2)))
+ (VALUE(REGEXEXTRACT(INDIRECT(""A""&amp;ROW()+1),""\d+""))-1)*7
+ INT((COLUMN()-COLUMN($B619))/3)
"),46384)</f>
        <v>46384</v>
      </c>
      <c r="F619" s="81"/>
      <c r="G619" s="82"/>
      <c r="H619" s="77">
        <f ca="1">IFERROR(__xludf.DUMMYFUNCTION("DATE(VALUE(LEFT($B$2,4)),VALUE(MID($B$2,6,2)),VALUE(RIGHT($B$2,2)))
+ (VALUE(REGEXEXTRACT(INDIRECT(""A""&amp;ROW()+1),""\d+""))-1)*7
+ INT((COLUMN()-COLUMN($B619))/3)
"),46385)</f>
        <v>46385</v>
      </c>
      <c r="I619" s="81"/>
      <c r="J619" s="82"/>
      <c r="K619" s="77">
        <f ca="1">IFERROR(__xludf.DUMMYFUNCTION("DATE(VALUE(LEFT($B$2,4)),VALUE(MID($B$2,6,2)),VALUE(RIGHT($B$2,2)))
+ (VALUE(REGEXEXTRACT(INDIRECT(""A""&amp;ROW()+1),""\d+""))-1)*7
+ INT((COLUMN()-COLUMN($B619))/3)
"),46386)</f>
        <v>46386</v>
      </c>
      <c r="L619" s="81"/>
      <c r="M619" s="82"/>
      <c r="N619" s="77">
        <f ca="1">IFERROR(__xludf.DUMMYFUNCTION("DATE(VALUE(LEFT($B$2,4)),VALUE(MID($B$2,6,2)),VALUE(RIGHT($B$2,2)))
+ (VALUE(REGEXEXTRACT(INDIRECT(""A""&amp;ROW()+1),""\d+""))-1)*7
+ INT((COLUMN()-COLUMN($B619))/3)
"),46387)</f>
        <v>46387</v>
      </c>
      <c r="O619" s="81"/>
      <c r="P619" s="82"/>
      <c r="Q619" s="77">
        <f ca="1">IFERROR(__xludf.DUMMYFUNCTION("DATE(VALUE(LEFT($B$2,4)),VALUE(MID($B$2,6,2)),VALUE(RIGHT($B$2,2)))
+ (VALUE(REGEXEXTRACT(INDIRECT(""A""&amp;ROW()+1),""\d+""))-1)*7
+ INT((COLUMN()-COLUMN($B619))/3)
"),46388)</f>
        <v>46388</v>
      </c>
      <c r="R619" s="81"/>
      <c r="S619" s="82"/>
      <c r="T619" s="77">
        <f ca="1">IFERROR(__xludf.DUMMYFUNCTION("DATE(VALUE(LEFT($B$2,4)),VALUE(MID($B$2,6,2)),VALUE(RIGHT($B$2,2)))
+ (VALUE(REGEXEXTRACT(INDIRECT(""A""&amp;ROW()+1),""\d+""))-1)*7
+ INT((COLUMN()-COLUMN($B619))/3)
"),46389)</f>
        <v>46389</v>
      </c>
      <c r="U619" s="81"/>
      <c r="V619" s="82"/>
      <c r="W619" s="52" t="s">
        <v>20</v>
      </c>
    </row>
    <row r="620" spans="1:23" ht="15.75" customHeight="1">
      <c r="A620" s="47" t="s">
        <v>181</v>
      </c>
      <c r="B620" s="113"/>
      <c r="C620" s="109"/>
      <c r="D620" s="42">
        <f>V618+C620</f>
        <v>-1459</v>
      </c>
      <c r="E620" s="112"/>
      <c r="F620" s="111"/>
      <c r="G620" s="36">
        <f>D630+F620</f>
        <v>-1459</v>
      </c>
      <c r="H620" s="132"/>
      <c r="I620" s="109"/>
      <c r="J620" s="42">
        <f>G630+I620</f>
        <v>-1459</v>
      </c>
      <c r="K620" s="112"/>
      <c r="L620" s="111"/>
      <c r="M620" s="18">
        <f>J630+L620</f>
        <v>-1459</v>
      </c>
      <c r="N620" s="113"/>
      <c r="O620" s="109"/>
      <c r="P620" s="35">
        <f>M630+O620</f>
        <v>-1459</v>
      </c>
      <c r="Q620" s="112"/>
      <c r="R620" s="111"/>
      <c r="S620" s="36">
        <f>P630+R620</f>
        <v>-1459</v>
      </c>
      <c r="T620" s="176"/>
      <c r="U620" s="173"/>
      <c r="V620" s="50">
        <f>S630+U620</f>
        <v>-1459</v>
      </c>
      <c r="W620" s="172"/>
    </row>
    <row r="621" spans="1:23" ht="15.75" customHeight="1">
      <c r="A621" s="114"/>
      <c r="B621" s="118"/>
      <c r="C621" s="117"/>
      <c r="D621" s="19">
        <f t="shared" ref="D621:D630" si="364">D620+C621</f>
        <v>-1459</v>
      </c>
      <c r="E621" s="106"/>
      <c r="F621" s="107"/>
      <c r="G621" s="26">
        <f t="shared" ref="G621:G630" si="365">G620+F621</f>
        <v>-1459</v>
      </c>
      <c r="H621" s="133"/>
      <c r="I621" s="117"/>
      <c r="J621" s="19">
        <f t="shared" ref="J621:J630" si="366">J620+I621</f>
        <v>-1459</v>
      </c>
      <c r="K621" s="106"/>
      <c r="L621" s="107"/>
      <c r="M621" s="26">
        <f t="shared" ref="M621:M630" si="367">M620+L621</f>
        <v>-1459</v>
      </c>
      <c r="N621" s="118"/>
      <c r="O621" s="117"/>
      <c r="P621" s="38">
        <f t="shared" ref="P621:P630" si="368">P620+O621</f>
        <v>-1459</v>
      </c>
      <c r="Q621" s="106"/>
      <c r="R621" s="107"/>
      <c r="S621" s="26">
        <f t="shared" ref="S621:S630" si="369">S620+R621</f>
        <v>-1459</v>
      </c>
      <c r="T621" s="177"/>
      <c r="U621" s="136"/>
      <c r="V621" s="45">
        <f t="shared" ref="V621:V630" si="370">V620+U621</f>
        <v>-1459</v>
      </c>
      <c r="W621" s="143"/>
    </row>
    <row r="622" spans="1:23" ht="15.75" customHeight="1">
      <c r="A622" s="114"/>
      <c r="B622" s="118"/>
      <c r="C622" s="117"/>
      <c r="D622" s="19">
        <f t="shared" si="364"/>
        <v>-1459</v>
      </c>
      <c r="E622" s="106"/>
      <c r="F622" s="107"/>
      <c r="G622" s="26">
        <f t="shared" si="365"/>
        <v>-1459</v>
      </c>
      <c r="H622" s="133"/>
      <c r="I622" s="117"/>
      <c r="J622" s="19">
        <f t="shared" si="366"/>
        <v>-1459</v>
      </c>
      <c r="K622" s="106"/>
      <c r="L622" s="107"/>
      <c r="M622" s="26">
        <f t="shared" si="367"/>
        <v>-1459</v>
      </c>
      <c r="N622" s="117"/>
      <c r="O622" s="117"/>
      <c r="P622" s="38">
        <f t="shared" si="368"/>
        <v>-1459</v>
      </c>
      <c r="Q622" s="106"/>
      <c r="R622" s="107"/>
      <c r="S622" s="26">
        <f t="shared" si="369"/>
        <v>-1459</v>
      </c>
      <c r="T622" s="177"/>
      <c r="U622" s="136"/>
      <c r="V622" s="45">
        <f t="shared" si="370"/>
        <v>-1459</v>
      </c>
      <c r="W622" s="143"/>
    </row>
    <row r="623" spans="1:23" ht="15.75" customHeight="1">
      <c r="A623" s="114"/>
      <c r="B623" s="118"/>
      <c r="C623" s="117"/>
      <c r="D623" s="19">
        <f t="shared" si="364"/>
        <v>-1459</v>
      </c>
      <c r="E623" s="106"/>
      <c r="F623" s="107"/>
      <c r="G623" s="26">
        <f t="shared" si="365"/>
        <v>-1459</v>
      </c>
      <c r="H623" s="133"/>
      <c r="I623" s="117"/>
      <c r="J623" s="19">
        <f t="shared" si="366"/>
        <v>-1459</v>
      </c>
      <c r="K623" s="106"/>
      <c r="L623" s="107"/>
      <c r="M623" s="26">
        <f t="shared" si="367"/>
        <v>-1459</v>
      </c>
      <c r="N623" s="117"/>
      <c r="O623" s="117"/>
      <c r="P623" s="38">
        <f t="shared" si="368"/>
        <v>-1459</v>
      </c>
      <c r="Q623" s="106"/>
      <c r="R623" s="107"/>
      <c r="S623" s="26">
        <f t="shared" si="369"/>
        <v>-1459</v>
      </c>
      <c r="T623" s="177"/>
      <c r="U623" s="136"/>
      <c r="V623" s="45">
        <f t="shared" si="370"/>
        <v>-1459</v>
      </c>
      <c r="W623" s="143"/>
    </row>
    <row r="624" spans="1:23" ht="15.75" customHeight="1">
      <c r="A624" s="114"/>
      <c r="B624" s="118"/>
      <c r="C624" s="117"/>
      <c r="D624" s="19">
        <f t="shared" si="364"/>
        <v>-1459</v>
      </c>
      <c r="E624" s="106"/>
      <c r="F624" s="107"/>
      <c r="G624" s="26">
        <f t="shared" si="365"/>
        <v>-1459</v>
      </c>
      <c r="H624" s="133"/>
      <c r="I624" s="117"/>
      <c r="J624" s="19">
        <f t="shared" si="366"/>
        <v>-1459</v>
      </c>
      <c r="K624" s="106"/>
      <c r="L624" s="107"/>
      <c r="M624" s="26">
        <f t="shared" si="367"/>
        <v>-1459</v>
      </c>
      <c r="N624" s="117"/>
      <c r="O624" s="117"/>
      <c r="P624" s="38">
        <f t="shared" si="368"/>
        <v>-1459</v>
      </c>
      <c r="Q624" s="106"/>
      <c r="R624" s="107"/>
      <c r="S624" s="26">
        <f t="shared" si="369"/>
        <v>-1459</v>
      </c>
      <c r="T624" s="177"/>
      <c r="U624" s="136"/>
      <c r="V624" s="45">
        <f t="shared" si="370"/>
        <v>-1459</v>
      </c>
      <c r="W624" s="143"/>
    </row>
    <row r="625" spans="1:23" ht="15.75" customHeight="1">
      <c r="A625" s="114"/>
      <c r="B625" s="118"/>
      <c r="C625" s="117"/>
      <c r="D625" s="19">
        <f t="shared" si="364"/>
        <v>-1459</v>
      </c>
      <c r="E625" s="106"/>
      <c r="F625" s="107"/>
      <c r="G625" s="26">
        <f t="shared" si="365"/>
        <v>-1459</v>
      </c>
      <c r="H625" s="133"/>
      <c r="I625" s="117"/>
      <c r="J625" s="19">
        <f t="shared" si="366"/>
        <v>-1459</v>
      </c>
      <c r="K625" s="106"/>
      <c r="L625" s="107"/>
      <c r="M625" s="26">
        <f t="shared" si="367"/>
        <v>-1459</v>
      </c>
      <c r="N625" s="117"/>
      <c r="O625" s="117"/>
      <c r="P625" s="38">
        <f t="shared" si="368"/>
        <v>-1459</v>
      </c>
      <c r="Q625" s="106"/>
      <c r="R625" s="107"/>
      <c r="S625" s="26">
        <f t="shared" si="369"/>
        <v>-1459</v>
      </c>
      <c r="T625" s="177"/>
      <c r="U625" s="136"/>
      <c r="V625" s="45">
        <f t="shared" si="370"/>
        <v>-1459</v>
      </c>
      <c r="W625" s="143"/>
    </row>
    <row r="626" spans="1:23" ht="15.75" customHeight="1">
      <c r="A626" s="114"/>
      <c r="B626" s="117"/>
      <c r="C626" s="117"/>
      <c r="D626" s="19">
        <f t="shared" si="364"/>
        <v>-1459</v>
      </c>
      <c r="E626" s="106"/>
      <c r="F626" s="107"/>
      <c r="G626" s="26">
        <f t="shared" si="365"/>
        <v>-1459</v>
      </c>
      <c r="H626" s="133"/>
      <c r="I626" s="117"/>
      <c r="J626" s="19">
        <f t="shared" si="366"/>
        <v>-1459</v>
      </c>
      <c r="K626" s="106"/>
      <c r="L626" s="107"/>
      <c r="M626" s="26">
        <f t="shared" si="367"/>
        <v>-1459</v>
      </c>
      <c r="N626" s="117"/>
      <c r="O626" s="117"/>
      <c r="P626" s="38">
        <f t="shared" si="368"/>
        <v>-1459</v>
      </c>
      <c r="Q626" s="106"/>
      <c r="R626" s="107"/>
      <c r="S626" s="26">
        <f t="shared" si="369"/>
        <v>-1459</v>
      </c>
      <c r="T626" s="177"/>
      <c r="U626" s="136"/>
      <c r="V626" s="45">
        <f t="shared" si="370"/>
        <v>-1459</v>
      </c>
      <c r="W626" s="143"/>
    </row>
    <row r="627" spans="1:23" ht="15.75" customHeight="1">
      <c r="A627" s="114"/>
      <c r="B627" s="117"/>
      <c r="C627" s="117"/>
      <c r="D627" s="19">
        <f t="shared" si="364"/>
        <v>-1459</v>
      </c>
      <c r="E627" s="106"/>
      <c r="F627" s="107"/>
      <c r="G627" s="26">
        <f t="shared" si="365"/>
        <v>-1459</v>
      </c>
      <c r="H627" s="133"/>
      <c r="I627" s="117"/>
      <c r="J627" s="19">
        <f t="shared" si="366"/>
        <v>-1459</v>
      </c>
      <c r="K627" s="106"/>
      <c r="L627" s="107"/>
      <c r="M627" s="26">
        <f t="shared" si="367"/>
        <v>-1459</v>
      </c>
      <c r="N627" s="117"/>
      <c r="O627" s="117"/>
      <c r="P627" s="38">
        <f t="shared" si="368"/>
        <v>-1459</v>
      </c>
      <c r="Q627" s="106"/>
      <c r="R627" s="107"/>
      <c r="S627" s="26">
        <f t="shared" si="369"/>
        <v>-1459</v>
      </c>
      <c r="T627" s="177"/>
      <c r="U627" s="136"/>
      <c r="V627" s="45">
        <f t="shared" si="370"/>
        <v>-1459</v>
      </c>
      <c r="W627" s="143"/>
    </row>
    <row r="628" spans="1:23" ht="15.75" customHeight="1">
      <c r="A628" s="114"/>
      <c r="B628" s="117"/>
      <c r="C628" s="117"/>
      <c r="D628" s="19">
        <f t="shared" si="364"/>
        <v>-1459</v>
      </c>
      <c r="E628" s="106"/>
      <c r="F628" s="107"/>
      <c r="G628" s="26">
        <f t="shared" si="365"/>
        <v>-1459</v>
      </c>
      <c r="H628" s="133"/>
      <c r="I628" s="117"/>
      <c r="J628" s="19">
        <f t="shared" si="366"/>
        <v>-1459</v>
      </c>
      <c r="K628" s="106"/>
      <c r="L628" s="107"/>
      <c r="M628" s="26">
        <f t="shared" si="367"/>
        <v>-1459</v>
      </c>
      <c r="N628" s="117"/>
      <c r="O628" s="117"/>
      <c r="P628" s="38">
        <f t="shared" si="368"/>
        <v>-1459</v>
      </c>
      <c r="Q628" s="106"/>
      <c r="R628" s="107"/>
      <c r="S628" s="26">
        <f t="shared" si="369"/>
        <v>-1459</v>
      </c>
      <c r="T628" s="177"/>
      <c r="U628" s="136"/>
      <c r="V628" s="45">
        <f t="shared" si="370"/>
        <v>-1459</v>
      </c>
      <c r="W628" s="143"/>
    </row>
    <row r="629" spans="1:23" ht="15.75" customHeight="1">
      <c r="A629" s="114"/>
      <c r="B629" s="117"/>
      <c r="C629" s="117"/>
      <c r="D629" s="19">
        <f t="shared" si="364"/>
        <v>-1459</v>
      </c>
      <c r="E629" s="122"/>
      <c r="F629" s="123"/>
      <c r="G629" s="26">
        <f t="shared" si="365"/>
        <v>-1459</v>
      </c>
      <c r="H629" s="133"/>
      <c r="I629" s="117"/>
      <c r="J629" s="19">
        <f t="shared" si="366"/>
        <v>-1459</v>
      </c>
      <c r="K629" s="122"/>
      <c r="L629" s="123"/>
      <c r="M629" s="26">
        <f t="shared" si="367"/>
        <v>-1459</v>
      </c>
      <c r="N629" s="117"/>
      <c r="O629" s="117"/>
      <c r="P629" s="38">
        <f t="shared" si="368"/>
        <v>-1459</v>
      </c>
      <c r="Q629" s="122"/>
      <c r="R629" s="123"/>
      <c r="S629" s="26">
        <f t="shared" si="369"/>
        <v>-1459</v>
      </c>
      <c r="T629" s="177"/>
      <c r="U629" s="136"/>
      <c r="V629" s="45">
        <f t="shared" si="370"/>
        <v>-1459</v>
      </c>
      <c r="W629" s="143"/>
    </row>
    <row r="630" spans="1:23" ht="15.75" customHeight="1">
      <c r="A630" s="114"/>
      <c r="B630" s="128"/>
      <c r="C630" s="128"/>
      <c r="D630" s="29">
        <f t="shared" si="364"/>
        <v>-1459</v>
      </c>
      <c r="E630" s="122"/>
      <c r="F630" s="123"/>
      <c r="G630" s="53">
        <f t="shared" si="365"/>
        <v>-1459</v>
      </c>
      <c r="H630" s="140"/>
      <c r="I630" s="128"/>
      <c r="J630" s="29">
        <f t="shared" si="366"/>
        <v>-1459</v>
      </c>
      <c r="K630" s="122"/>
      <c r="L630" s="123"/>
      <c r="M630" s="39">
        <f t="shared" si="367"/>
        <v>-1459</v>
      </c>
      <c r="N630" s="128"/>
      <c r="O630" s="128"/>
      <c r="P630" s="40">
        <f t="shared" si="368"/>
        <v>-1459</v>
      </c>
      <c r="Q630" s="122"/>
      <c r="R630" s="123"/>
      <c r="S630" s="53">
        <f t="shared" si="369"/>
        <v>-1459</v>
      </c>
      <c r="T630" s="178"/>
      <c r="U630" s="141"/>
      <c r="V630" s="46">
        <f t="shared" si="370"/>
        <v>-1459</v>
      </c>
      <c r="W630" s="143"/>
    </row>
    <row r="631" spans="1:23" ht="15.75" customHeight="1">
      <c r="A631" s="87"/>
      <c r="B631" s="77">
        <f ca="1">IFERROR(__xludf.DUMMYFUNCTION("DATE(VALUE(LEFT($B$2,4)),VALUE(MID($B$2,6,2)),VALUE(RIGHT($B$2,2)))
+ (VALUE(REGEXEXTRACT(INDIRECT(""A""&amp;ROW()+1),""\d+""))-1)*7
+ INT((COLUMN()-COLUMN($B631))/3)
"),46390)</f>
        <v>46390</v>
      </c>
      <c r="C631" s="81"/>
      <c r="D631" s="82"/>
      <c r="E631" s="77">
        <f ca="1">IFERROR(__xludf.DUMMYFUNCTION("DATE(VALUE(LEFT($B$2,4)),VALUE(MID($B$2,6,2)),VALUE(RIGHT($B$2,2)))
+ (VALUE(REGEXEXTRACT(INDIRECT(""A""&amp;ROW()+1),""\d+""))-1)*7
+ INT((COLUMN()-COLUMN($B631))/3)
"),46391)</f>
        <v>46391</v>
      </c>
      <c r="F631" s="81"/>
      <c r="G631" s="82"/>
      <c r="H631" s="77">
        <f ca="1">IFERROR(__xludf.DUMMYFUNCTION("DATE(VALUE(LEFT($B$2,4)),VALUE(MID($B$2,6,2)),VALUE(RIGHT($B$2,2)))
+ (VALUE(REGEXEXTRACT(INDIRECT(""A""&amp;ROW()+1),""\d+""))-1)*7
+ INT((COLUMN()-COLUMN($B631))/3)
"),46392)</f>
        <v>46392</v>
      </c>
      <c r="I631" s="81"/>
      <c r="J631" s="82"/>
      <c r="K631" s="77">
        <f ca="1">IFERROR(__xludf.DUMMYFUNCTION("DATE(VALUE(LEFT($B$2,4)),VALUE(MID($B$2,6,2)),VALUE(RIGHT($B$2,2)))
+ (VALUE(REGEXEXTRACT(INDIRECT(""A""&amp;ROW()+1),""\d+""))-1)*7
+ INT((COLUMN()-COLUMN($B631))/3)
"),46393)</f>
        <v>46393</v>
      </c>
      <c r="L631" s="81"/>
      <c r="M631" s="82"/>
      <c r="N631" s="77">
        <f ca="1">IFERROR(__xludf.DUMMYFUNCTION("DATE(VALUE(LEFT($B$2,4)),VALUE(MID($B$2,6,2)),VALUE(RIGHT($B$2,2)))
+ (VALUE(REGEXEXTRACT(INDIRECT(""A""&amp;ROW()+1),""\d+""))-1)*7
+ INT((COLUMN()-COLUMN($B631))/3)
"),46394)</f>
        <v>46394</v>
      </c>
      <c r="O631" s="81"/>
      <c r="P631" s="82"/>
      <c r="Q631" s="77">
        <f ca="1">IFERROR(__xludf.DUMMYFUNCTION("DATE(VALUE(LEFT($B$2,4)),VALUE(MID($B$2,6,2)),VALUE(RIGHT($B$2,2)))
+ (VALUE(REGEXEXTRACT(INDIRECT(""A""&amp;ROW()+1),""\d+""))-1)*7
+ INT((COLUMN()-COLUMN($B631))/3)
"),46395)</f>
        <v>46395</v>
      </c>
      <c r="R631" s="81"/>
      <c r="S631" s="82"/>
      <c r="T631" s="77">
        <f ca="1">IFERROR(__xludf.DUMMYFUNCTION("DATE(VALUE(LEFT($B$2,4)),VALUE(MID($B$2,6,2)),VALUE(RIGHT($B$2,2)))
+ (VALUE(REGEXEXTRACT(INDIRECT(""A""&amp;ROW()+1),""\d+""))-1)*7
+ INT((COLUMN()-COLUMN($B631))/3)
"),46396)</f>
        <v>46396</v>
      </c>
      <c r="U631" s="81"/>
      <c r="V631" s="82"/>
      <c r="W631" s="143"/>
    </row>
    <row r="632" spans="1:23" ht="15.75" customHeight="1">
      <c r="A632" s="51" t="s">
        <v>182</v>
      </c>
      <c r="B632" s="112"/>
      <c r="C632" s="111"/>
      <c r="D632" s="17">
        <f>V630+C632</f>
        <v>-1459</v>
      </c>
      <c r="E632" s="109"/>
      <c r="F632" s="109"/>
      <c r="G632" s="42">
        <f>D642+F632</f>
        <v>-1459</v>
      </c>
      <c r="H632" s="112"/>
      <c r="I632" s="111"/>
      <c r="J632" s="17">
        <f>G642+I632</f>
        <v>-1459</v>
      </c>
      <c r="K632" s="109"/>
      <c r="L632" s="109"/>
      <c r="M632" s="35">
        <f>J642+L632</f>
        <v>-1459</v>
      </c>
      <c r="N632" s="112"/>
      <c r="O632" s="111"/>
      <c r="P632" s="17">
        <f>M642+O632</f>
        <v>-1459</v>
      </c>
      <c r="Q632" s="109"/>
      <c r="R632" s="109"/>
      <c r="S632" s="54">
        <f>P642+R632</f>
        <v>-1459</v>
      </c>
      <c r="T632" s="110"/>
      <c r="U632" s="111"/>
      <c r="V632" s="48">
        <f>S642+U632</f>
        <v>-1459</v>
      </c>
      <c r="W632" s="143"/>
    </row>
    <row r="633" spans="1:23" ht="15.75" customHeight="1">
      <c r="A633" s="114"/>
      <c r="B633" s="106"/>
      <c r="C633" s="107"/>
      <c r="D633" s="26">
        <f t="shared" ref="D633:D642" si="371">D632+C633</f>
        <v>-1459</v>
      </c>
      <c r="E633" s="117"/>
      <c r="F633" s="117"/>
      <c r="G633" s="19">
        <f t="shared" ref="G633:G642" si="372">G632+F633</f>
        <v>-1459</v>
      </c>
      <c r="H633" s="106"/>
      <c r="I633" s="107"/>
      <c r="J633" s="26">
        <f t="shared" ref="J633:J642" si="373">J632+I633</f>
        <v>-1459</v>
      </c>
      <c r="K633" s="117"/>
      <c r="L633" s="117"/>
      <c r="M633" s="38">
        <f t="shared" ref="M633:M642" si="374">M632+L633</f>
        <v>-1459</v>
      </c>
      <c r="N633" s="106"/>
      <c r="O633" s="107"/>
      <c r="P633" s="26">
        <f t="shared" ref="P633:P642" si="375">P632+O633</f>
        <v>-1459</v>
      </c>
      <c r="Q633" s="117"/>
      <c r="R633" s="117"/>
      <c r="S633" s="19">
        <f t="shared" ref="S633:S642" si="376">S632+R633</f>
        <v>-1459</v>
      </c>
      <c r="T633" s="116"/>
      <c r="U633" s="107"/>
      <c r="V633" s="20">
        <f t="shared" ref="V633:V642" si="377">V632+U633</f>
        <v>-1459</v>
      </c>
      <c r="W633" s="143"/>
    </row>
    <row r="634" spans="1:23" ht="15.75" customHeight="1">
      <c r="A634" s="114"/>
      <c r="B634" s="106"/>
      <c r="C634" s="107"/>
      <c r="D634" s="26">
        <f t="shared" si="371"/>
        <v>-1459</v>
      </c>
      <c r="E634" s="117"/>
      <c r="F634" s="117"/>
      <c r="G634" s="19">
        <f t="shared" si="372"/>
        <v>-1459</v>
      </c>
      <c r="H634" s="106"/>
      <c r="I634" s="107"/>
      <c r="J634" s="26">
        <f t="shared" si="373"/>
        <v>-1459</v>
      </c>
      <c r="K634" s="117"/>
      <c r="L634" s="117"/>
      <c r="M634" s="38">
        <f t="shared" si="374"/>
        <v>-1459</v>
      </c>
      <c r="N634" s="106"/>
      <c r="O634" s="107"/>
      <c r="P634" s="26">
        <f t="shared" si="375"/>
        <v>-1459</v>
      </c>
      <c r="Q634" s="117"/>
      <c r="R634" s="117"/>
      <c r="S634" s="19">
        <f t="shared" si="376"/>
        <v>-1459</v>
      </c>
      <c r="T634" s="116"/>
      <c r="U634" s="116"/>
      <c r="V634" s="20">
        <f t="shared" si="377"/>
        <v>-1459</v>
      </c>
      <c r="W634" s="143"/>
    </row>
    <row r="635" spans="1:23" ht="15.75" customHeight="1">
      <c r="A635" s="114"/>
      <c r="B635" s="106"/>
      <c r="C635" s="107"/>
      <c r="D635" s="26">
        <f t="shared" si="371"/>
        <v>-1459</v>
      </c>
      <c r="E635" s="117"/>
      <c r="F635" s="117"/>
      <c r="G635" s="19">
        <f t="shared" si="372"/>
        <v>-1459</v>
      </c>
      <c r="H635" s="106"/>
      <c r="I635" s="107"/>
      <c r="J635" s="26">
        <f t="shared" si="373"/>
        <v>-1459</v>
      </c>
      <c r="K635" s="117"/>
      <c r="L635" s="117"/>
      <c r="M635" s="38">
        <f t="shared" si="374"/>
        <v>-1459</v>
      </c>
      <c r="N635" s="106"/>
      <c r="O635" s="107"/>
      <c r="P635" s="26">
        <f t="shared" si="375"/>
        <v>-1459</v>
      </c>
      <c r="Q635" s="117"/>
      <c r="R635" s="117"/>
      <c r="S635" s="19">
        <f t="shared" si="376"/>
        <v>-1459</v>
      </c>
      <c r="T635" s="116"/>
      <c r="U635" s="116"/>
      <c r="V635" s="20">
        <f t="shared" si="377"/>
        <v>-1459</v>
      </c>
      <c r="W635" s="143"/>
    </row>
    <row r="636" spans="1:23" ht="15.75" customHeight="1">
      <c r="A636" s="114"/>
      <c r="B636" s="106"/>
      <c r="C636" s="107"/>
      <c r="D636" s="26">
        <f t="shared" si="371"/>
        <v>-1459</v>
      </c>
      <c r="E636" s="117"/>
      <c r="F636" s="117"/>
      <c r="G636" s="19">
        <f t="shared" si="372"/>
        <v>-1459</v>
      </c>
      <c r="H636" s="106"/>
      <c r="I636" s="107"/>
      <c r="J636" s="26">
        <f t="shared" si="373"/>
        <v>-1459</v>
      </c>
      <c r="K636" s="117"/>
      <c r="L636" s="117"/>
      <c r="M636" s="38">
        <f t="shared" si="374"/>
        <v>-1459</v>
      </c>
      <c r="N636" s="106"/>
      <c r="O636" s="107"/>
      <c r="P636" s="26">
        <f t="shared" si="375"/>
        <v>-1459</v>
      </c>
      <c r="Q636" s="117"/>
      <c r="R636" s="117"/>
      <c r="S636" s="19">
        <f t="shared" si="376"/>
        <v>-1459</v>
      </c>
      <c r="T636" s="116"/>
      <c r="U636" s="116"/>
      <c r="V636" s="20">
        <f t="shared" si="377"/>
        <v>-1459</v>
      </c>
      <c r="W636" s="143"/>
    </row>
    <row r="637" spans="1:23" ht="15.75" customHeight="1">
      <c r="A637" s="114"/>
      <c r="B637" s="106"/>
      <c r="C637" s="107"/>
      <c r="D637" s="26">
        <f t="shared" si="371"/>
        <v>-1459</v>
      </c>
      <c r="E637" s="117"/>
      <c r="F637" s="117"/>
      <c r="G637" s="19">
        <f t="shared" si="372"/>
        <v>-1459</v>
      </c>
      <c r="H637" s="106"/>
      <c r="I637" s="107"/>
      <c r="J637" s="26">
        <f t="shared" si="373"/>
        <v>-1459</v>
      </c>
      <c r="K637" s="117"/>
      <c r="L637" s="117"/>
      <c r="M637" s="38">
        <f t="shared" si="374"/>
        <v>-1459</v>
      </c>
      <c r="N637" s="106"/>
      <c r="O637" s="107"/>
      <c r="P637" s="26">
        <f t="shared" si="375"/>
        <v>-1459</v>
      </c>
      <c r="Q637" s="117"/>
      <c r="R637" s="117"/>
      <c r="S637" s="19">
        <f t="shared" si="376"/>
        <v>-1459</v>
      </c>
      <c r="T637" s="116"/>
      <c r="U637" s="116"/>
      <c r="V637" s="20">
        <f t="shared" si="377"/>
        <v>-1459</v>
      </c>
      <c r="W637" s="143"/>
    </row>
    <row r="638" spans="1:23" ht="15.75" customHeight="1">
      <c r="A638" s="114"/>
      <c r="B638" s="106"/>
      <c r="C638" s="107"/>
      <c r="D638" s="26">
        <f t="shared" si="371"/>
        <v>-1459</v>
      </c>
      <c r="E638" s="117"/>
      <c r="F638" s="117"/>
      <c r="G638" s="19">
        <f t="shared" si="372"/>
        <v>-1459</v>
      </c>
      <c r="H638" s="106"/>
      <c r="I638" s="107"/>
      <c r="J638" s="26">
        <f t="shared" si="373"/>
        <v>-1459</v>
      </c>
      <c r="K638" s="117"/>
      <c r="L638" s="117"/>
      <c r="M638" s="38">
        <f t="shared" si="374"/>
        <v>-1459</v>
      </c>
      <c r="N638" s="106"/>
      <c r="O638" s="107"/>
      <c r="P638" s="26">
        <f t="shared" si="375"/>
        <v>-1459</v>
      </c>
      <c r="Q638" s="117"/>
      <c r="R638" s="117"/>
      <c r="S638" s="19">
        <f t="shared" si="376"/>
        <v>-1459</v>
      </c>
      <c r="T638" s="116"/>
      <c r="U638" s="116"/>
      <c r="V638" s="20">
        <f t="shared" si="377"/>
        <v>-1459</v>
      </c>
      <c r="W638" s="143"/>
    </row>
    <row r="639" spans="1:23" ht="15.75" customHeight="1">
      <c r="A639" s="114"/>
      <c r="B639" s="106"/>
      <c r="C639" s="107"/>
      <c r="D639" s="26">
        <f t="shared" si="371"/>
        <v>-1459</v>
      </c>
      <c r="E639" s="117"/>
      <c r="F639" s="117"/>
      <c r="G639" s="19">
        <f t="shared" si="372"/>
        <v>-1459</v>
      </c>
      <c r="H639" s="106"/>
      <c r="I639" s="107"/>
      <c r="J639" s="26">
        <f t="shared" si="373"/>
        <v>-1459</v>
      </c>
      <c r="K639" s="117"/>
      <c r="L639" s="117"/>
      <c r="M639" s="38">
        <f t="shared" si="374"/>
        <v>-1459</v>
      </c>
      <c r="N639" s="106"/>
      <c r="O639" s="107"/>
      <c r="P639" s="26">
        <f t="shared" si="375"/>
        <v>-1459</v>
      </c>
      <c r="Q639" s="117"/>
      <c r="R639" s="117"/>
      <c r="S639" s="19">
        <f t="shared" si="376"/>
        <v>-1459</v>
      </c>
      <c r="T639" s="116"/>
      <c r="U639" s="116"/>
      <c r="V639" s="20">
        <f t="shared" si="377"/>
        <v>-1459</v>
      </c>
      <c r="W639" s="143"/>
    </row>
    <row r="640" spans="1:23" ht="15.75" customHeight="1">
      <c r="A640" s="114"/>
      <c r="B640" s="122"/>
      <c r="C640" s="123"/>
      <c r="D640" s="26">
        <f t="shared" si="371"/>
        <v>-1459</v>
      </c>
      <c r="E640" s="117"/>
      <c r="F640" s="117"/>
      <c r="G640" s="19">
        <f t="shared" si="372"/>
        <v>-1459</v>
      </c>
      <c r="H640" s="122"/>
      <c r="I640" s="123"/>
      <c r="J640" s="26">
        <f t="shared" si="373"/>
        <v>-1459</v>
      </c>
      <c r="K640" s="117"/>
      <c r="L640" s="117"/>
      <c r="M640" s="38">
        <f t="shared" si="374"/>
        <v>-1459</v>
      </c>
      <c r="N640" s="122"/>
      <c r="O640" s="123"/>
      <c r="P640" s="26">
        <f t="shared" si="375"/>
        <v>-1459</v>
      </c>
      <c r="Q640" s="117"/>
      <c r="R640" s="117"/>
      <c r="S640" s="19">
        <f t="shared" si="376"/>
        <v>-1459</v>
      </c>
      <c r="T640" s="116"/>
      <c r="U640" s="116"/>
      <c r="V640" s="20">
        <f t="shared" si="377"/>
        <v>-1459</v>
      </c>
      <c r="W640" s="143"/>
    </row>
    <row r="641" spans="1:23" ht="15.75" customHeight="1">
      <c r="A641" s="114"/>
      <c r="B641" s="122"/>
      <c r="C641" s="123"/>
      <c r="D641" s="26">
        <f t="shared" si="371"/>
        <v>-1459</v>
      </c>
      <c r="E641" s="117"/>
      <c r="F641" s="117"/>
      <c r="G641" s="19">
        <f t="shared" si="372"/>
        <v>-1459</v>
      </c>
      <c r="H641" s="122"/>
      <c r="I641" s="123"/>
      <c r="J641" s="26">
        <f t="shared" si="373"/>
        <v>-1459</v>
      </c>
      <c r="K641" s="117"/>
      <c r="L641" s="117"/>
      <c r="M641" s="38">
        <f t="shared" si="374"/>
        <v>-1459</v>
      </c>
      <c r="N641" s="122"/>
      <c r="O641" s="123"/>
      <c r="P641" s="26">
        <f t="shared" si="375"/>
        <v>-1459</v>
      </c>
      <c r="Q641" s="117"/>
      <c r="R641" s="117"/>
      <c r="S641" s="19">
        <f t="shared" si="376"/>
        <v>-1459</v>
      </c>
      <c r="T641" s="124"/>
      <c r="U641" s="124"/>
      <c r="V641" s="20">
        <f t="shared" si="377"/>
        <v>-1459</v>
      </c>
      <c r="W641" s="143"/>
    </row>
    <row r="642" spans="1:23" ht="15.75" customHeight="1">
      <c r="A642" s="114"/>
      <c r="B642" s="126"/>
      <c r="C642" s="127"/>
      <c r="D642" s="59">
        <f t="shared" si="371"/>
        <v>-1459</v>
      </c>
      <c r="E642" s="157"/>
      <c r="F642" s="157"/>
      <c r="G642" s="60">
        <f t="shared" si="372"/>
        <v>-1459</v>
      </c>
      <c r="H642" s="126"/>
      <c r="I642" s="127"/>
      <c r="J642" s="59">
        <f t="shared" si="373"/>
        <v>-1459</v>
      </c>
      <c r="K642" s="157"/>
      <c r="L642" s="157"/>
      <c r="M642" s="61">
        <f t="shared" si="374"/>
        <v>-1459</v>
      </c>
      <c r="N642" s="126"/>
      <c r="O642" s="127"/>
      <c r="P642" s="59">
        <f t="shared" si="375"/>
        <v>-1459</v>
      </c>
      <c r="Q642" s="157"/>
      <c r="R642" s="157"/>
      <c r="S642" s="55">
        <f t="shared" si="376"/>
        <v>-1459</v>
      </c>
      <c r="T642" s="181"/>
      <c r="U642" s="127"/>
      <c r="V642" s="62">
        <f t="shared" si="377"/>
        <v>-1459</v>
      </c>
      <c r="W642" s="143"/>
    </row>
    <row r="643" spans="1:23" ht="15.75" customHeight="1">
      <c r="A643" s="5"/>
      <c r="B643" s="74"/>
      <c r="C643" s="65"/>
      <c r="D643" s="66"/>
      <c r="E643" s="74"/>
      <c r="F643" s="65"/>
      <c r="G643" s="66"/>
      <c r="H643" s="74"/>
      <c r="I643" s="65"/>
      <c r="J643" s="66"/>
      <c r="K643" s="74"/>
      <c r="L643" s="65"/>
      <c r="M643" s="66"/>
      <c r="N643" s="74"/>
      <c r="O643" s="65"/>
      <c r="P643" s="66"/>
      <c r="Q643" s="74"/>
      <c r="R643" s="65"/>
      <c r="S643" s="66"/>
      <c r="T643" s="75"/>
      <c r="U643" s="65"/>
      <c r="V643" s="76"/>
      <c r="W643" s="6"/>
    </row>
    <row r="644" spans="1:23" ht="15.75" customHeight="1">
      <c r="A644" s="2"/>
    </row>
    <row r="645" spans="1:23" ht="15.75" customHeight="1">
      <c r="A645" s="2"/>
    </row>
    <row r="646" spans="1:23" ht="15.75" customHeight="1">
      <c r="A646" s="2"/>
    </row>
    <row r="647" spans="1:23" ht="15.75" customHeight="1">
      <c r="A647" s="2"/>
    </row>
    <row r="648" spans="1:23" ht="15.75" customHeight="1">
      <c r="A648" s="2"/>
    </row>
    <row r="649" spans="1:23" ht="15.75" customHeight="1">
      <c r="A649" s="2"/>
    </row>
    <row r="650" spans="1:23" ht="15.75" customHeight="1">
      <c r="A650" s="2"/>
    </row>
    <row r="651" spans="1:23" ht="15.75" customHeight="1">
      <c r="A651" s="2"/>
      <c r="I651" s="3" t="s">
        <v>120</v>
      </c>
    </row>
    <row r="652" spans="1:23" ht="15.75" customHeight="1">
      <c r="A652" s="2"/>
    </row>
    <row r="653" spans="1:23" ht="15.75" customHeight="1">
      <c r="A653" s="2"/>
    </row>
    <row r="654" spans="1:23" ht="15.75" customHeight="1">
      <c r="A654" s="2"/>
    </row>
    <row r="655" spans="1:23" ht="15.75" customHeight="1">
      <c r="A655" s="2"/>
    </row>
    <row r="656" spans="1:23"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386">
    <mergeCell ref="E547:G547"/>
    <mergeCell ref="H547:J547"/>
    <mergeCell ref="K547:M547"/>
    <mergeCell ref="N547:P547"/>
    <mergeCell ref="Q547:S547"/>
    <mergeCell ref="T547:V547"/>
    <mergeCell ref="B547:D547"/>
    <mergeCell ref="E559:G559"/>
    <mergeCell ref="H559:J559"/>
    <mergeCell ref="K559:M559"/>
    <mergeCell ref="N559:P559"/>
    <mergeCell ref="Q559:S559"/>
    <mergeCell ref="T559:V559"/>
    <mergeCell ref="E523:G523"/>
    <mergeCell ref="H523:J523"/>
    <mergeCell ref="K523:M523"/>
    <mergeCell ref="N523:P523"/>
    <mergeCell ref="Q523:S523"/>
    <mergeCell ref="T523:V523"/>
    <mergeCell ref="B523:D523"/>
    <mergeCell ref="E535:G535"/>
    <mergeCell ref="H535:J535"/>
    <mergeCell ref="K535:M535"/>
    <mergeCell ref="N535:P535"/>
    <mergeCell ref="Q535:S535"/>
    <mergeCell ref="T535:V535"/>
    <mergeCell ref="B535:D535"/>
    <mergeCell ref="E499:G499"/>
    <mergeCell ref="H499:J499"/>
    <mergeCell ref="K499:M499"/>
    <mergeCell ref="N499:P499"/>
    <mergeCell ref="Q499:S499"/>
    <mergeCell ref="T499:V499"/>
    <mergeCell ref="B499:D499"/>
    <mergeCell ref="E511:G511"/>
    <mergeCell ref="H511:J511"/>
    <mergeCell ref="K511:M511"/>
    <mergeCell ref="N511:P511"/>
    <mergeCell ref="Q511:S511"/>
    <mergeCell ref="T511:V511"/>
    <mergeCell ref="B511:D511"/>
    <mergeCell ref="E475:G475"/>
    <mergeCell ref="H475:J475"/>
    <mergeCell ref="K475:M475"/>
    <mergeCell ref="N475:P475"/>
    <mergeCell ref="Q475:S475"/>
    <mergeCell ref="T475:V475"/>
    <mergeCell ref="B475:D475"/>
    <mergeCell ref="E487:G487"/>
    <mergeCell ref="H487:J487"/>
    <mergeCell ref="K487:M487"/>
    <mergeCell ref="N487:P487"/>
    <mergeCell ref="Q487:S487"/>
    <mergeCell ref="T487:V487"/>
    <mergeCell ref="B487:D487"/>
    <mergeCell ref="E451:G451"/>
    <mergeCell ref="H451:J451"/>
    <mergeCell ref="K451:M451"/>
    <mergeCell ref="N451:P451"/>
    <mergeCell ref="Q451:S451"/>
    <mergeCell ref="T451:V451"/>
    <mergeCell ref="B451:D451"/>
    <mergeCell ref="E463:G463"/>
    <mergeCell ref="H463:J463"/>
    <mergeCell ref="K463:M463"/>
    <mergeCell ref="N463:P463"/>
    <mergeCell ref="Q463:S463"/>
    <mergeCell ref="T463:V463"/>
    <mergeCell ref="B463:D463"/>
    <mergeCell ref="K427:M427"/>
    <mergeCell ref="N427:P427"/>
    <mergeCell ref="Q427:S427"/>
    <mergeCell ref="T427:V427"/>
    <mergeCell ref="B427:D427"/>
    <mergeCell ref="E439:G439"/>
    <mergeCell ref="H439:J439"/>
    <mergeCell ref="K439:M439"/>
    <mergeCell ref="N439:P439"/>
    <mergeCell ref="Q439:S439"/>
    <mergeCell ref="T439:V439"/>
    <mergeCell ref="B439:D439"/>
    <mergeCell ref="B643:D643"/>
    <mergeCell ref="E643:G643"/>
    <mergeCell ref="H643:J643"/>
    <mergeCell ref="K643:M643"/>
    <mergeCell ref="N643:P643"/>
    <mergeCell ref="Q643:S643"/>
    <mergeCell ref="T643:V643"/>
    <mergeCell ref="B391:D391"/>
    <mergeCell ref="E403:G403"/>
    <mergeCell ref="H403:J403"/>
    <mergeCell ref="K403:M403"/>
    <mergeCell ref="N403:P403"/>
    <mergeCell ref="Q403:S403"/>
    <mergeCell ref="T403:V403"/>
    <mergeCell ref="B403:D403"/>
    <mergeCell ref="E415:G415"/>
    <mergeCell ref="H415:J415"/>
    <mergeCell ref="K415:M415"/>
    <mergeCell ref="N415:P415"/>
    <mergeCell ref="Q415:S415"/>
    <mergeCell ref="T415:V415"/>
    <mergeCell ref="B415:D415"/>
    <mergeCell ref="E427:G427"/>
    <mergeCell ref="H427:J427"/>
    <mergeCell ref="E45:G45"/>
    <mergeCell ref="H45:J45"/>
    <mergeCell ref="K45:M45"/>
    <mergeCell ref="N45:P45"/>
    <mergeCell ref="Q45:S45"/>
    <mergeCell ref="T45:V45"/>
    <mergeCell ref="B45:D45"/>
    <mergeCell ref="E57:G57"/>
    <mergeCell ref="H57:J57"/>
    <mergeCell ref="K57:M57"/>
    <mergeCell ref="N57:P57"/>
    <mergeCell ref="Q57:S57"/>
    <mergeCell ref="T57:V57"/>
    <mergeCell ref="E23:G23"/>
    <mergeCell ref="H23:J23"/>
    <mergeCell ref="K23:M23"/>
    <mergeCell ref="N23:P23"/>
    <mergeCell ref="Q23:S23"/>
    <mergeCell ref="T23:V23"/>
    <mergeCell ref="B23:D23"/>
    <mergeCell ref="E34:G34"/>
    <mergeCell ref="H34:J34"/>
    <mergeCell ref="K34:M34"/>
    <mergeCell ref="N34:P34"/>
    <mergeCell ref="Q34:S34"/>
    <mergeCell ref="T34:V34"/>
    <mergeCell ref="B34:D34"/>
    <mergeCell ref="B1:V1"/>
    <mergeCell ref="E2:G2"/>
    <mergeCell ref="H2:J2"/>
    <mergeCell ref="K2:M2"/>
    <mergeCell ref="N2:P2"/>
    <mergeCell ref="Q2:S2"/>
    <mergeCell ref="T2:V2"/>
    <mergeCell ref="B2:D2"/>
    <mergeCell ref="E12:G12"/>
    <mergeCell ref="H12:J12"/>
    <mergeCell ref="K12:M12"/>
    <mergeCell ref="N12:P12"/>
    <mergeCell ref="Q12:S12"/>
    <mergeCell ref="T12:V12"/>
    <mergeCell ref="B12:D12"/>
    <mergeCell ref="E619:G619"/>
    <mergeCell ref="H619:J619"/>
    <mergeCell ref="K619:M619"/>
    <mergeCell ref="N619:P619"/>
    <mergeCell ref="Q619:S619"/>
    <mergeCell ref="T619:V619"/>
    <mergeCell ref="B619:D619"/>
    <mergeCell ref="E631:G631"/>
    <mergeCell ref="H631:J631"/>
    <mergeCell ref="K631:M631"/>
    <mergeCell ref="N631:P631"/>
    <mergeCell ref="Q631:S631"/>
    <mergeCell ref="T631:V631"/>
    <mergeCell ref="B631:D631"/>
    <mergeCell ref="E595:G595"/>
    <mergeCell ref="H595:J595"/>
    <mergeCell ref="K595:M595"/>
    <mergeCell ref="N595:P595"/>
    <mergeCell ref="Q595:S595"/>
    <mergeCell ref="T595:V595"/>
    <mergeCell ref="B595:D595"/>
    <mergeCell ref="E607:G607"/>
    <mergeCell ref="H607:J607"/>
    <mergeCell ref="K607:M607"/>
    <mergeCell ref="N607:P607"/>
    <mergeCell ref="Q607:S607"/>
    <mergeCell ref="T607:V607"/>
    <mergeCell ref="B607:D607"/>
    <mergeCell ref="B559:D559"/>
    <mergeCell ref="E571:G571"/>
    <mergeCell ref="H571:J571"/>
    <mergeCell ref="K571:M571"/>
    <mergeCell ref="N571:P571"/>
    <mergeCell ref="Q571:S571"/>
    <mergeCell ref="T571:V571"/>
    <mergeCell ref="B571:D571"/>
    <mergeCell ref="E583:G583"/>
    <mergeCell ref="H583:J583"/>
    <mergeCell ref="K583:M583"/>
    <mergeCell ref="N583:P583"/>
    <mergeCell ref="Q583:S583"/>
    <mergeCell ref="T583:V583"/>
    <mergeCell ref="B583:D583"/>
    <mergeCell ref="E379:G379"/>
    <mergeCell ref="H379:J379"/>
    <mergeCell ref="K379:M379"/>
    <mergeCell ref="N379:P379"/>
    <mergeCell ref="Q379:S379"/>
    <mergeCell ref="T379:V379"/>
    <mergeCell ref="B379:D379"/>
    <mergeCell ref="E391:G391"/>
    <mergeCell ref="H391:J391"/>
    <mergeCell ref="K391:M391"/>
    <mergeCell ref="N391:P391"/>
    <mergeCell ref="Q391:S391"/>
    <mergeCell ref="T391:V391"/>
    <mergeCell ref="E355:G355"/>
    <mergeCell ref="H355:J355"/>
    <mergeCell ref="K355:M355"/>
    <mergeCell ref="N355:P355"/>
    <mergeCell ref="Q355:S355"/>
    <mergeCell ref="T355:V355"/>
    <mergeCell ref="B355:D355"/>
    <mergeCell ref="E367:G367"/>
    <mergeCell ref="H367:J367"/>
    <mergeCell ref="K367:M367"/>
    <mergeCell ref="N367:P367"/>
    <mergeCell ref="Q367:S367"/>
    <mergeCell ref="T367:V367"/>
    <mergeCell ref="B367:D367"/>
    <mergeCell ref="E331:G331"/>
    <mergeCell ref="H331:J331"/>
    <mergeCell ref="K331:M331"/>
    <mergeCell ref="N331:P331"/>
    <mergeCell ref="Q331:S331"/>
    <mergeCell ref="T331:V331"/>
    <mergeCell ref="B331:D331"/>
    <mergeCell ref="E343:G343"/>
    <mergeCell ref="H343:J343"/>
    <mergeCell ref="K343:M343"/>
    <mergeCell ref="N343:P343"/>
    <mergeCell ref="Q343:S343"/>
    <mergeCell ref="T343:V343"/>
    <mergeCell ref="B343:D343"/>
    <mergeCell ref="E307:G307"/>
    <mergeCell ref="H307:J307"/>
    <mergeCell ref="K307:M307"/>
    <mergeCell ref="N307:P307"/>
    <mergeCell ref="Q307:S307"/>
    <mergeCell ref="T307:V307"/>
    <mergeCell ref="B307:D307"/>
    <mergeCell ref="E319:G319"/>
    <mergeCell ref="H319:J319"/>
    <mergeCell ref="K319:M319"/>
    <mergeCell ref="N319:P319"/>
    <mergeCell ref="Q319:S319"/>
    <mergeCell ref="T319:V319"/>
    <mergeCell ref="B319:D319"/>
    <mergeCell ref="E283:G283"/>
    <mergeCell ref="H283:J283"/>
    <mergeCell ref="K283:M283"/>
    <mergeCell ref="N283:P283"/>
    <mergeCell ref="Q283:S283"/>
    <mergeCell ref="T283:V283"/>
    <mergeCell ref="B283:D283"/>
    <mergeCell ref="E295:G295"/>
    <mergeCell ref="H295:J295"/>
    <mergeCell ref="K295:M295"/>
    <mergeCell ref="N295:P295"/>
    <mergeCell ref="Q295:S295"/>
    <mergeCell ref="T295:V295"/>
    <mergeCell ref="B295:D295"/>
    <mergeCell ref="E259:G259"/>
    <mergeCell ref="H259:J259"/>
    <mergeCell ref="K259:M259"/>
    <mergeCell ref="N259:P259"/>
    <mergeCell ref="Q259:S259"/>
    <mergeCell ref="T259:V259"/>
    <mergeCell ref="B259:D259"/>
    <mergeCell ref="E271:G271"/>
    <mergeCell ref="H271:J271"/>
    <mergeCell ref="K271:M271"/>
    <mergeCell ref="N271:P271"/>
    <mergeCell ref="Q271:S271"/>
    <mergeCell ref="T271:V271"/>
    <mergeCell ref="B271:D271"/>
    <mergeCell ref="E235:G235"/>
    <mergeCell ref="H235:J235"/>
    <mergeCell ref="K235:M235"/>
    <mergeCell ref="N235:P235"/>
    <mergeCell ref="Q235:S235"/>
    <mergeCell ref="T235:V235"/>
    <mergeCell ref="B235:D235"/>
    <mergeCell ref="E247:G247"/>
    <mergeCell ref="H247:J247"/>
    <mergeCell ref="K247:M247"/>
    <mergeCell ref="N247:P247"/>
    <mergeCell ref="Q247:S247"/>
    <mergeCell ref="T247:V247"/>
    <mergeCell ref="B247:D247"/>
    <mergeCell ref="E211:G211"/>
    <mergeCell ref="H211:J211"/>
    <mergeCell ref="K211:M211"/>
    <mergeCell ref="N211:P211"/>
    <mergeCell ref="Q211:S211"/>
    <mergeCell ref="T211:V211"/>
    <mergeCell ref="B211:D211"/>
    <mergeCell ref="E223:G223"/>
    <mergeCell ref="H223:J223"/>
    <mergeCell ref="K223:M223"/>
    <mergeCell ref="N223:P223"/>
    <mergeCell ref="Q223:S223"/>
    <mergeCell ref="T223:V223"/>
    <mergeCell ref="B223:D223"/>
    <mergeCell ref="E187:G187"/>
    <mergeCell ref="H187:J187"/>
    <mergeCell ref="K187:M187"/>
    <mergeCell ref="N187:P187"/>
    <mergeCell ref="Q187:S187"/>
    <mergeCell ref="T187:V187"/>
    <mergeCell ref="B187:D187"/>
    <mergeCell ref="E199:G199"/>
    <mergeCell ref="H199:J199"/>
    <mergeCell ref="K199:M199"/>
    <mergeCell ref="N199:P199"/>
    <mergeCell ref="Q199:S199"/>
    <mergeCell ref="T199:V199"/>
    <mergeCell ref="B199:D199"/>
    <mergeCell ref="E163:G163"/>
    <mergeCell ref="H163:J163"/>
    <mergeCell ref="K163:M163"/>
    <mergeCell ref="N163:P163"/>
    <mergeCell ref="Q163:S163"/>
    <mergeCell ref="T163:V163"/>
    <mergeCell ref="B163:D163"/>
    <mergeCell ref="E175:G175"/>
    <mergeCell ref="H175:J175"/>
    <mergeCell ref="K175:M175"/>
    <mergeCell ref="N175:P175"/>
    <mergeCell ref="Q175:S175"/>
    <mergeCell ref="T175:V175"/>
    <mergeCell ref="B175:D175"/>
    <mergeCell ref="E139:G139"/>
    <mergeCell ref="H139:J139"/>
    <mergeCell ref="K139:M139"/>
    <mergeCell ref="N139:P139"/>
    <mergeCell ref="Q139:S139"/>
    <mergeCell ref="T139:V139"/>
    <mergeCell ref="B139:D139"/>
    <mergeCell ref="E151:G151"/>
    <mergeCell ref="H151:J151"/>
    <mergeCell ref="K151:M151"/>
    <mergeCell ref="N151:P151"/>
    <mergeCell ref="Q151:S151"/>
    <mergeCell ref="T151:V151"/>
    <mergeCell ref="B151:D151"/>
    <mergeCell ref="E115:G115"/>
    <mergeCell ref="H115:J115"/>
    <mergeCell ref="K115:M115"/>
    <mergeCell ref="N115:P115"/>
    <mergeCell ref="Q115:S115"/>
    <mergeCell ref="T115:V115"/>
    <mergeCell ref="B115:D115"/>
    <mergeCell ref="E127:G127"/>
    <mergeCell ref="H127:J127"/>
    <mergeCell ref="K127:M127"/>
    <mergeCell ref="N127:P127"/>
    <mergeCell ref="Q127:S127"/>
    <mergeCell ref="T127:V127"/>
    <mergeCell ref="B127:D127"/>
    <mergeCell ref="E91:G91"/>
    <mergeCell ref="H91:J91"/>
    <mergeCell ref="K91:M91"/>
    <mergeCell ref="N91:P91"/>
    <mergeCell ref="Q91:S91"/>
    <mergeCell ref="T91:V91"/>
    <mergeCell ref="B91:D91"/>
    <mergeCell ref="E103:G103"/>
    <mergeCell ref="H103:J103"/>
    <mergeCell ref="K103:M103"/>
    <mergeCell ref="N103:P103"/>
    <mergeCell ref="Q103:S103"/>
    <mergeCell ref="T103:V103"/>
    <mergeCell ref="B103:D103"/>
    <mergeCell ref="B57:D57"/>
    <mergeCell ref="E67:G67"/>
    <mergeCell ref="H67:J67"/>
    <mergeCell ref="K67:M67"/>
    <mergeCell ref="N67:P67"/>
    <mergeCell ref="Q67:S67"/>
    <mergeCell ref="T67:V67"/>
    <mergeCell ref="B67:D67"/>
    <mergeCell ref="E79:G79"/>
    <mergeCell ref="H79:J79"/>
    <mergeCell ref="K79:M79"/>
    <mergeCell ref="N79:P79"/>
    <mergeCell ref="Q79:S79"/>
    <mergeCell ref="T79:V79"/>
    <mergeCell ref="B79:D79"/>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zoomScale="70" zoomScaleNormal="70" workbookViewId="0">
      <selection sqref="A1:W642"/>
    </sheetView>
  </sheetViews>
  <sheetFormatPr defaultColWidth="14.453125" defaultRowHeight="15" customHeight="1"/>
  <cols>
    <col min="1" max="1" width="18.0898437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3" ht="58.5" customHeight="1">
      <c r="A1" s="85"/>
      <c r="B1" s="73" t="s">
        <v>183</v>
      </c>
      <c r="C1" s="81"/>
      <c r="D1" s="81"/>
      <c r="E1" s="81"/>
      <c r="F1" s="81"/>
      <c r="G1" s="81"/>
      <c r="H1" s="81"/>
      <c r="I1" s="81"/>
      <c r="J1" s="81"/>
      <c r="K1" s="81"/>
      <c r="L1" s="81"/>
      <c r="M1" s="81"/>
      <c r="N1" s="81"/>
      <c r="O1" s="81"/>
      <c r="P1" s="81"/>
      <c r="Q1" s="81"/>
      <c r="R1" s="81"/>
      <c r="S1" s="81"/>
      <c r="T1" s="81"/>
      <c r="U1" s="81"/>
      <c r="V1" s="82"/>
      <c r="W1" s="84"/>
    </row>
    <row r="2" spans="1:23" ht="17.25" customHeight="1">
      <c r="A2" s="85"/>
      <c r="B2" s="78" t="s">
        <v>184</v>
      </c>
      <c r="C2" s="81"/>
      <c r="D2" s="82"/>
      <c r="E2" s="77">
        <f>DATE(
  VALUE(LEFT($B$2,4)),
  VALUE(MID($B$2,6,2)),
  VALUE(RIGHT($B$2,2))
)
+ INT((COLUMN()-COLUMN($B2))/3)</f>
        <v>46384</v>
      </c>
      <c r="F2" s="81"/>
      <c r="G2" s="82"/>
      <c r="H2" s="77">
        <f>DATE(
  VALUE(LEFT($B$2,4)),
  VALUE(MID($B$2,6,2)),
  VALUE(RIGHT($B$2,2))
)
+ INT((COLUMN()-COLUMN($B2))/3)</f>
        <v>46385</v>
      </c>
      <c r="I2" s="81"/>
      <c r="J2" s="82"/>
      <c r="K2" s="77">
        <f>DATE(
  VALUE(LEFT($B$2,4)),
  VALUE(MID($B$2,6,2)),
  VALUE(RIGHT($B$2,2))
)
+ INT((COLUMN()-COLUMN($B2))/3)</f>
        <v>46386</v>
      </c>
      <c r="L2" s="81"/>
      <c r="M2" s="82"/>
      <c r="N2" s="77">
        <f>DATE(
  VALUE(LEFT($B$2,4)),
  VALUE(MID($B$2,6,2)),
  VALUE(RIGHT($B$2,2))
)
+ INT((COLUMN()-COLUMN($B2))/3)</f>
        <v>46387</v>
      </c>
      <c r="O2" s="81"/>
      <c r="P2" s="82"/>
      <c r="Q2" s="77">
        <f>DATE(
  VALUE(LEFT($B$2,4)),
  VALUE(MID($B$2,6,2)),
  VALUE(RIGHT($B$2,2))
)
+ INT((COLUMN()-COLUMN($B2))/3)</f>
        <v>46388</v>
      </c>
      <c r="R2" s="81"/>
      <c r="S2" s="82"/>
      <c r="T2" s="77">
        <f>DATE(
  VALUE(LEFT($B$2,4)),
  VALUE(MID($B$2,6,2)),
  VALUE(RIGHT($B$2,2))
)
+ INT((COLUMN()-COLUMN($B2))/3)</f>
        <v>46389</v>
      </c>
      <c r="U2" s="81"/>
      <c r="V2" s="82"/>
      <c r="W2" s="86" t="s">
        <v>2</v>
      </c>
    </row>
    <row r="3" spans="1:23" ht="17.25" customHeight="1">
      <c r="A3" s="7" t="s">
        <v>21</v>
      </c>
      <c r="B3" s="8" t="s">
        <v>123</v>
      </c>
      <c r="C3" s="9" t="s">
        <v>124</v>
      </c>
      <c r="D3" s="10" t="s">
        <v>125</v>
      </c>
      <c r="E3" s="11" t="s">
        <v>123</v>
      </c>
      <c r="F3" s="12" t="s">
        <v>124</v>
      </c>
      <c r="G3" s="13" t="s">
        <v>125</v>
      </c>
      <c r="H3" s="11" t="s">
        <v>123</v>
      </c>
      <c r="I3" s="12" t="s">
        <v>124</v>
      </c>
      <c r="J3" s="13" t="s">
        <v>125</v>
      </c>
      <c r="K3" s="11" t="s">
        <v>123</v>
      </c>
      <c r="L3" s="12" t="s">
        <v>124</v>
      </c>
      <c r="M3" s="13" t="s">
        <v>125</v>
      </c>
      <c r="N3" s="11" t="s">
        <v>123</v>
      </c>
      <c r="O3" s="12" t="s">
        <v>124</v>
      </c>
      <c r="P3" s="13" t="s">
        <v>125</v>
      </c>
      <c r="Q3" s="11" t="s">
        <v>123</v>
      </c>
      <c r="R3" s="12" t="s">
        <v>124</v>
      </c>
      <c r="S3" s="13" t="s">
        <v>125</v>
      </c>
      <c r="T3" s="11" t="s">
        <v>123</v>
      </c>
      <c r="U3" s="12" t="s">
        <v>124</v>
      </c>
      <c r="V3" s="13" t="s">
        <v>125</v>
      </c>
      <c r="W3" s="90" t="s">
        <v>4</v>
      </c>
    </row>
    <row r="4" spans="1:23" ht="15" customHeight="1">
      <c r="A4" s="14" t="s">
        <v>126</v>
      </c>
      <c r="B4" s="117"/>
      <c r="C4" s="117"/>
      <c r="D4" s="15" t="s">
        <v>127</v>
      </c>
      <c r="E4" s="16" t="s">
        <v>128</v>
      </c>
      <c r="F4" s="111"/>
      <c r="G4" s="17">
        <f>SUM(D11+F4)</f>
        <v>2</v>
      </c>
      <c r="H4" s="117"/>
      <c r="I4" s="117"/>
      <c r="J4" s="15">
        <f>G11+I4</f>
        <v>2</v>
      </c>
      <c r="K4" s="112"/>
      <c r="L4" s="111"/>
      <c r="M4" s="18">
        <f>J11+L4</f>
        <v>2</v>
      </c>
      <c r="N4" s="118"/>
      <c r="O4" s="117"/>
      <c r="P4" s="15">
        <f>M11+O4</f>
        <v>2</v>
      </c>
      <c r="Q4" s="112"/>
      <c r="R4" s="111"/>
      <c r="S4" s="18">
        <f>P11+R4</f>
        <v>-723</v>
      </c>
      <c r="T4" s="118"/>
      <c r="U4" s="117"/>
      <c r="V4" s="15">
        <f>S11+U4</f>
        <v>-723</v>
      </c>
      <c r="W4" s="95"/>
    </row>
    <row r="5" spans="1:23" ht="15" customHeight="1">
      <c r="A5" s="91"/>
      <c r="B5" s="117"/>
      <c r="C5" s="117"/>
      <c r="D5" s="19" t="s">
        <v>129</v>
      </c>
      <c r="E5" s="16" t="s">
        <v>130</v>
      </c>
      <c r="F5" s="107"/>
      <c r="G5" s="17">
        <f t="shared" ref="G5:G11" si="0">SUM(G4+F5)</f>
        <v>2</v>
      </c>
      <c r="H5" s="117"/>
      <c r="I5" s="117"/>
      <c r="J5" s="19">
        <f t="shared" ref="J5:J11" si="1">J4+I5</f>
        <v>2</v>
      </c>
      <c r="K5" s="106"/>
      <c r="L5" s="107"/>
      <c r="M5" s="20">
        <f t="shared" ref="M5:M11" si="2">M4+L5</f>
        <v>2</v>
      </c>
      <c r="N5" s="21" t="s">
        <v>30</v>
      </c>
      <c r="O5" s="22">
        <v>-725</v>
      </c>
      <c r="P5" s="19">
        <f t="shared" ref="P5:P11" si="3">P4+O5</f>
        <v>-723</v>
      </c>
      <c r="Q5" s="106"/>
      <c r="R5" s="107"/>
      <c r="S5" s="23">
        <f t="shared" ref="S5:S11" si="4">S4+R5</f>
        <v>-723</v>
      </c>
      <c r="T5" s="118"/>
      <c r="U5" s="117"/>
      <c r="V5" s="19">
        <f t="shared" ref="V5:V11" si="5">V4+U5</f>
        <v>-723</v>
      </c>
      <c r="W5" s="96" t="s">
        <v>5</v>
      </c>
    </row>
    <row r="6" spans="1:23" ht="15" customHeight="1">
      <c r="A6" s="91"/>
      <c r="B6" s="24" t="s">
        <v>131</v>
      </c>
      <c r="C6" s="161"/>
      <c r="D6" s="25" t="s">
        <v>129</v>
      </c>
      <c r="E6" s="16" t="s">
        <v>132</v>
      </c>
      <c r="F6" s="107"/>
      <c r="G6" s="17">
        <f t="shared" si="0"/>
        <v>2</v>
      </c>
      <c r="H6" s="117"/>
      <c r="I6" s="117"/>
      <c r="J6" s="19">
        <f t="shared" si="1"/>
        <v>2</v>
      </c>
      <c r="K6" s="106"/>
      <c r="L6" s="107"/>
      <c r="M6" s="26">
        <f t="shared" si="2"/>
        <v>2</v>
      </c>
      <c r="N6" s="118"/>
      <c r="O6" s="117"/>
      <c r="P6" s="19">
        <f t="shared" si="3"/>
        <v>-723</v>
      </c>
      <c r="Q6" s="106"/>
      <c r="R6" s="107"/>
      <c r="S6" s="23">
        <f t="shared" si="4"/>
        <v>-723</v>
      </c>
      <c r="T6" s="118"/>
      <c r="U6" s="117"/>
      <c r="V6" s="19">
        <f t="shared" si="5"/>
        <v>-723</v>
      </c>
      <c r="W6" s="96" t="s">
        <v>6</v>
      </c>
    </row>
    <row r="7" spans="1:23" ht="15" customHeight="1">
      <c r="A7" s="91"/>
      <c r="B7" s="27" t="s">
        <v>125</v>
      </c>
      <c r="C7" s="161"/>
      <c r="D7" s="25">
        <v>2</v>
      </c>
      <c r="E7" s="106"/>
      <c r="F7" s="107"/>
      <c r="G7" s="17">
        <f t="shared" si="0"/>
        <v>2</v>
      </c>
      <c r="H7" s="117"/>
      <c r="I7" s="117"/>
      <c r="J7" s="19">
        <f t="shared" si="1"/>
        <v>2</v>
      </c>
      <c r="K7" s="106"/>
      <c r="L7" s="107"/>
      <c r="M7" s="26">
        <f t="shared" si="2"/>
        <v>2</v>
      </c>
      <c r="N7" s="118"/>
      <c r="O7" s="117"/>
      <c r="P7" s="19">
        <f t="shared" si="3"/>
        <v>-723</v>
      </c>
      <c r="Q7" s="106"/>
      <c r="R7" s="107"/>
      <c r="S7" s="23">
        <f t="shared" si="4"/>
        <v>-723</v>
      </c>
      <c r="T7" s="118"/>
      <c r="U7" s="117"/>
      <c r="V7" s="19">
        <f t="shared" si="5"/>
        <v>-723</v>
      </c>
      <c r="W7" s="96" t="s">
        <v>7</v>
      </c>
    </row>
    <row r="8" spans="1:23" ht="15" customHeight="1">
      <c r="A8" s="91"/>
      <c r="B8" s="118"/>
      <c r="C8" s="117"/>
      <c r="D8" s="19">
        <f t="shared" ref="D8:D11" si="6">D7+C8</f>
        <v>2</v>
      </c>
      <c r="E8" s="28" t="s">
        <v>133</v>
      </c>
      <c r="F8" s="107"/>
      <c r="G8" s="17">
        <f t="shared" si="0"/>
        <v>2</v>
      </c>
      <c r="H8" s="117"/>
      <c r="I8" s="117"/>
      <c r="J8" s="19">
        <f t="shared" si="1"/>
        <v>2</v>
      </c>
      <c r="K8" s="106"/>
      <c r="L8" s="107"/>
      <c r="M8" s="23">
        <f t="shared" si="2"/>
        <v>2</v>
      </c>
      <c r="N8" s="118"/>
      <c r="O8" s="117"/>
      <c r="P8" s="19">
        <f t="shared" si="3"/>
        <v>-723</v>
      </c>
      <c r="Q8" s="106"/>
      <c r="R8" s="107"/>
      <c r="S8" s="23">
        <f t="shared" si="4"/>
        <v>-723</v>
      </c>
      <c r="T8" s="118"/>
      <c r="U8" s="117"/>
      <c r="V8" s="19">
        <f t="shared" si="5"/>
        <v>-723</v>
      </c>
      <c r="W8" s="96" t="s">
        <v>8</v>
      </c>
    </row>
    <row r="9" spans="1:23" ht="15" customHeight="1">
      <c r="A9" s="91"/>
      <c r="B9" s="118"/>
      <c r="C9" s="117"/>
      <c r="D9" s="19">
        <f t="shared" si="6"/>
        <v>2</v>
      </c>
      <c r="E9" s="28" t="s">
        <v>134</v>
      </c>
      <c r="F9" s="107"/>
      <c r="G9" s="17">
        <f t="shared" si="0"/>
        <v>2</v>
      </c>
      <c r="H9" s="118"/>
      <c r="I9" s="117"/>
      <c r="J9" s="19">
        <f t="shared" si="1"/>
        <v>2</v>
      </c>
      <c r="K9" s="106"/>
      <c r="L9" s="107"/>
      <c r="M9" s="23">
        <f t="shared" si="2"/>
        <v>2</v>
      </c>
      <c r="N9" s="118"/>
      <c r="O9" s="117"/>
      <c r="P9" s="19">
        <f t="shared" si="3"/>
        <v>-723</v>
      </c>
      <c r="Q9" s="106"/>
      <c r="R9" s="107"/>
      <c r="S9" s="23">
        <f t="shared" si="4"/>
        <v>-723</v>
      </c>
      <c r="T9" s="118"/>
      <c r="U9" s="117"/>
      <c r="V9" s="19">
        <f t="shared" si="5"/>
        <v>-723</v>
      </c>
      <c r="W9" s="96" t="s">
        <v>9</v>
      </c>
    </row>
    <row r="10" spans="1:23" ht="15" customHeight="1">
      <c r="A10" s="91"/>
      <c r="B10" s="118"/>
      <c r="C10" s="117"/>
      <c r="D10" s="19">
        <f t="shared" si="6"/>
        <v>2</v>
      </c>
      <c r="E10" s="28" t="s">
        <v>135</v>
      </c>
      <c r="F10" s="107"/>
      <c r="G10" s="17">
        <f t="shared" si="0"/>
        <v>2</v>
      </c>
      <c r="H10" s="118"/>
      <c r="I10" s="117"/>
      <c r="J10" s="19">
        <f t="shared" si="1"/>
        <v>2</v>
      </c>
      <c r="K10" s="106"/>
      <c r="L10" s="107"/>
      <c r="M10" s="23">
        <f t="shared" si="2"/>
        <v>2</v>
      </c>
      <c r="N10" s="118"/>
      <c r="O10" s="117"/>
      <c r="P10" s="19">
        <f t="shared" si="3"/>
        <v>-723</v>
      </c>
      <c r="Q10" s="106"/>
      <c r="R10" s="107"/>
      <c r="S10" s="23">
        <f t="shared" si="4"/>
        <v>-723</v>
      </c>
      <c r="T10" s="118"/>
      <c r="U10" s="117"/>
      <c r="V10" s="19">
        <f t="shared" si="5"/>
        <v>-723</v>
      </c>
      <c r="W10" s="96" t="s">
        <v>10</v>
      </c>
    </row>
    <row r="11" spans="1:23" ht="15" customHeight="1">
      <c r="A11" s="91"/>
      <c r="B11" s="154"/>
      <c r="C11" s="128"/>
      <c r="D11" s="29">
        <f t="shared" si="6"/>
        <v>2</v>
      </c>
      <c r="E11" s="122"/>
      <c r="F11" s="123"/>
      <c r="G11" s="30">
        <f t="shared" si="0"/>
        <v>2</v>
      </c>
      <c r="H11" s="154"/>
      <c r="I11" s="128"/>
      <c r="J11" s="29">
        <f t="shared" si="1"/>
        <v>2</v>
      </c>
      <c r="K11" s="122"/>
      <c r="L11" s="123"/>
      <c r="M11" s="31">
        <f t="shared" si="2"/>
        <v>2</v>
      </c>
      <c r="N11" s="154"/>
      <c r="O11" s="128"/>
      <c r="P11" s="29">
        <f t="shared" si="3"/>
        <v>-723</v>
      </c>
      <c r="Q11" s="122"/>
      <c r="R11" s="123"/>
      <c r="S11" s="31">
        <f t="shared" si="4"/>
        <v>-723</v>
      </c>
      <c r="T11" s="154"/>
      <c r="U11" s="128"/>
      <c r="V11" s="29">
        <f t="shared" si="5"/>
        <v>-723</v>
      </c>
      <c r="W11" s="32" t="s">
        <v>11</v>
      </c>
    </row>
    <row r="12" spans="1:23" ht="17.25" customHeight="1">
      <c r="A12" s="162"/>
      <c r="B12" s="77">
        <f>DATE(
  VALUE(LEFT($B$2,4)),
  VALUE(MID($B$2,6,2)),
  VALUE(RIGHT($B$2,2))
) + 7</f>
        <v>46390</v>
      </c>
      <c r="C12" s="81"/>
      <c r="D12" s="82"/>
      <c r="E12" s="77">
        <f>DATE(VALUE(LEFT($B$2,4)),VALUE(MID($B$2,6,2)),VALUE(RIGHT($B$2,2)))
+ 7
+ INT((COLUMN()-COLUMN($B12))/3)</f>
        <v>46391</v>
      </c>
      <c r="F12" s="81"/>
      <c r="G12" s="82"/>
      <c r="H12" s="77">
        <f>DATE(VALUE(LEFT($B$2,4)),VALUE(MID($B$2,6,2)),VALUE(RIGHT($B$2,2)))
+ 7
+ INT((COLUMN()-COLUMN($B12))/3)</f>
        <v>46392</v>
      </c>
      <c r="I12" s="81"/>
      <c r="J12" s="82"/>
      <c r="K12" s="77">
        <f>DATE(VALUE(LEFT($B$2,4)),VALUE(MID($B$2,6,2)),VALUE(RIGHT($B$2,2)))
+ 7
+ INT((COLUMN()-COLUMN($B12))/3)</f>
        <v>46393</v>
      </c>
      <c r="L12" s="81"/>
      <c r="M12" s="82"/>
      <c r="N12" s="77">
        <f>DATE(VALUE(LEFT($B$2,4)),VALUE(MID($B$2,6,2)),VALUE(RIGHT($B$2,2)))
+ 7
+ INT((COLUMN()-COLUMN($B12))/3)</f>
        <v>46394</v>
      </c>
      <c r="O12" s="81"/>
      <c r="P12" s="82"/>
      <c r="Q12" s="77">
        <f>DATE(VALUE(LEFT($B$2,4)),VALUE(MID($B$2,6,2)),VALUE(RIGHT($B$2,2)))
+ 7
+ INT((COLUMN()-COLUMN($B12))/3)</f>
        <v>46395</v>
      </c>
      <c r="R12" s="81"/>
      <c r="S12" s="82"/>
      <c r="T12" s="77">
        <f>DATE(VALUE(LEFT($B$2,4)),VALUE(MID($B$2,6,2)),VALUE(RIGHT($B$2,2)))
+ 7
+ INT((COLUMN()-COLUMN($B12))/3)</f>
        <v>46396</v>
      </c>
      <c r="U12" s="81"/>
      <c r="V12" s="82"/>
      <c r="W12" s="33" t="s">
        <v>12</v>
      </c>
    </row>
    <row r="13" spans="1:23" ht="15" customHeight="1">
      <c r="A13" s="14" t="s">
        <v>136</v>
      </c>
      <c r="B13" s="34" t="s">
        <v>74</v>
      </c>
      <c r="C13" s="18">
        <v>-75</v>
      </c>
      <c r="D13" s="17">
        <f>V11+C13</f>
        <v>-798</v>
      </c>
      <c r="E13" s="109"/>
      <c r="F13" s="109"/>
      <c r="G13" s="35">
        <f>D22+F13</f>
        <v>-888</v>
      </c>
      <c r="H13" s="112"/>
      <c r="I13" s="111"/>
      <c r="J13" s="17">
        <f>G22+I13</f>
        <v>-888</v>
      </c>
      <c r="K13" s="113"/>
      <c r="L13" s="109"/>
      <c r="M13" s="35">
        <f>J22+L13</f>
        <v>-888</v>
      </c>
      <c r="N13" s="112"/>
      <c r="O13" s="111"/>
      <c r="P13" s="17">
        <f>M22+O13</f>
        <v>-888</v>
      </c>
      <c r="Q13" s="113"/>
      <c r="R13" s="109"/>
      <c r="S13" s="35">
        <f>P22+R13</f>
        <v>-888</v>
      </c>
      <c r="T13" s="112"/>
      <c r="U13" s="111"/>
      <c r="V13" s="36">
        <f>S22+U13</f>
        <v>-888</v>
      </c>
      <c r="W13" s="98" t="s">
        <v>13</v>
      </c>
    </row>
    <row r="14" spans="1:23" ht="15" customHeight="1">
      <c r="A14" s="91"/>
      <c r="B14" s="37" t="s">
        <v>76</v>
      </c>
      <c r="C14" s="23">
        <v>-25</v>
      </c>
      <c r="D14" s="26">
        <f t="shared" ref="D14:D22" si="7">D13+C14</f>
        <v>-823</v>
      </c>
      <c r="E14" s="117"/>
      <c r="F14" s="117"/>
      <c r="G14" s="38">
        <f t="shared" ref="G14:G22" si="8">G13+F14</f>
        <v>-888</v>
      </c>
      <c r="H14" s="106"/>
      <c r="I14" s="107"/>
      <c r="J14" s="26">
        <f t="shared" ref="J14:J22" si="9">J13+I14</f>
        <v>-888</v>
      </c>
      <c r="K14" s="118"/>
      <c r="L14" s="117"/>
      <c r="M14" s="38">
        <f t="shared" ref="M14:M22" si="10">M13+L14</f>
        <v>-888</v>
      </c>
      <c r="N14" s="106"/>
      <c r="O14" s="107"/>
      <c r="P14" s="26">
        <f t="shared" ref="P14:P22" si="11">P13+O14</f>
        <v>-888</v>
      </c>
      <c r="Q14" s="163"/>
      <c r="R14" s="164"/>
      <c r="S14" s="38">
        <f t="shared" ref="S14:S22" si="12">S13+R14</f>
        <v>-888</v>
      </c>
      <c r="T14" s="106"/>
      <c r="U14" s="107"/>
      <c r="V14" s="26">
        <f t="shared" ref="V14:V22" si="13">V13+U14</f>
        <v>-888</v>
      </c>
      <c r="W14" s="99"/>
    </row>
    <row r="15" spans="1:23" ht="15" customHeight="1">
      <c r="A15" s="91"/>
      <c r="B15" s="37" t="s">
        <v>79</v>
      </c>
      <c r="C15" s="23">
        <v>-65</v>
      </c>
      <c r="D15" s="26">
        <f t="shared" si="7"/>
        <v>-888</v>
      </c>
      <c r="E15" s="118"/>
      <c r="F15" s="117"/>
      <c r="G15" s="38">
        <f t="shared" si="8"/>
        <v>-888</v>
      </c>
      <c r="H15" s="106"/>
      <c r="I15" s="107"/>
      <c r="J15" s="26">
        <f t="shared" si="9"/>
        <v>-888</v>
      </c>
      <c r="K15" s="118"/>
      <c r="L15" s="117"/>
      <c r="M15" s="38">
        <f t="shared" si="10"/>
        <v>-888</v>
      </c>
      <c r="N15" s="106"/>
      <c r="O15" s="107"/>
      <c r="P15" s="26">
        <f t="shared" si="11"/>
        <v>-888</v>
      </c>
      <c r="Q15" s="163"/>
      <c r="R15" s="164"/>
      <c r="S15" s="38">
        <f t="shared" si="12"/>
        <v>-888</v>
      </c>
      <c r="T15" s="106"/>
      <c r="U15" s="107"/>
      <c r="V15" s="26">
        <f t="shared" si="13"/>
        <v>-888</v>
      </c>
      <c r="W15" s="100" t="s">
        <v>14</v>
      </c>
    </row>
    <row r="16" spans="1:23" ht="15" customHeight="1">
      <c r="A16" s="91"/>
      <c r="B16" s="106"/>
      <c r="C16" s="107"/>
      <c r="D16" s="26">
        <f t="shared" si="7"/>
        <v>-888</v>
      </c>
      <c r="E16" s="118"/>
      <c r="F16" s="117"/>
      <c r="G16" s="38">
        <f t="shared" si="8"/>
        <v>-888</v>
      </c>
      <c r="H16" s="106"/>
      <c r="I16" s="107"/>
      <c r="J16" s="26">
        <f t="shared" si="9"/>
        <v>-888</v>
      </c>
      <c r="K16" s="118"/>
      <c r="L16" s="117"/>
      <c r="M16" s="38">
        <f t="shared" si="10"/>
        <v>-888</v>
      </c>
      <c r="N16" s="106"/>
      <c r="O16" s="107"/>
      <c r="P16" s="26">
        <f t="shared" si="11"/>
        <v>-888</v>
      </c>
      <c r="Q16" s="163"/>
      <c r="R16" s="164"/>
      <c r="S16" s="38">
        <f t="shared" si="12"/>
        <v>-888</v>
      </c>
      <c r="T16" s="106"/>
      <c r="U16" s="107"/>
      <c r="V16" s="26">
        <f t="shared" si="13"/>
        <v>-888</v>
      </c>
      <c r="W16" s="101" t="s">
        <v>15</v>
      </c>
    </row>
    <row r="17" spans="1:23" ht="15" customHeight="1">
      <c r="A17" s="91"/>
      <c r="B17" s="106"/>
      <c r="C17" s="107"/>
      <c r="D17" s="26">
        <f t="shared" si="7"/>
        <v>-888</v>
      </c>
      <c r="E17" s="118"/>
      <c r="F17" s="117"/>
      <c r="G17" s="38">
        <f t="shared" si="8"/>
        <v>-888</v>
      </c>
      <c r="H17" s="106"/>
      <c r="I17" s="107"/>
      <c r="J17" s="26">
        <f t="shared" si="9"/>
        <v>-888</v>
      </c>
      <c r="K17" s="118"/>
      <c r="L17" s="117"/>
      <c r="M17" s="38">
        <f t="shared" si="10"/>
        <v>-888</v>
      </c>
      <c r="N17" s="106"/>
      <c r="O17" s="107"/>
      <c r="P17" s="26">
        <f t="shared" si="11"/>
        <v>-888</v>
      </c>
      <c r="Q17" s="163"/>
      <c r="R17" s="164"/>
      <c r="S17" s="38">
        <f t="shared" si="12"/>
        <v>-888</v>
      </c>
      <c r="T17" s="106"/>
      <c r="U17" s="107"/>
      <c r="V17" s="26">
        <f t="shared" si="13"/>
        <v>-888</v>
      </c>
      <c r="W17" s="101" t="s">
        <v>16</v>
      </c>
    </row>
    <row r="18" spans="1:23" ht="15" customHeight="1">
      <c r="A18" s="91"/>
      <c r="B18" s="106"/>
      <c r="C18" s="107"/>
      <c r="D18" s="26">
        <f t="shared" si="7"/>
        <v>-888</v>
      </c>
      <c r="E18" s="118"/>
      <c r="F18" s="117"/>
      <c r="G18" s="38">
        <f t="shared" si="8"/>
        <v>-888</v>
      </c>
      <c r="H18" s="106"/>
      <c r="I18" s="107"/>
      <c r="J18" s="26">
        <f t="shared" si="9"/>
        <v>-888</v>
      </c>
      <c r="K18" s="118"/>
      <c r="L18" s="117"/>
      <c r="M18" s="38">
        <f t="shared" si="10"/>
        <v>-888</v>
      </c>
      <c r="N18" s="106"/>
      <c r="O18" s="107"/>
      <c r="P18" s="26">
        <f t="shared" si="11"/>
        <v>-888</v>
      </c>
      <c r="Q18" s="163"/>
      <c r="R18" s="164"/>
      <c r="S18" s="38">
        <f t="shared" si="12"/>
        <v>-888</v>
      </c>
      <c r="T18" s="106"/>
      <c r="U18" s="107"/>
      <c r="V18" s="26">
        <f t="shared" si="13"/>
        <v>-888</v>
      </c>
      <c r="W18" s="101" t="s">
        <v>17</v>
      </c>
    </row>
    <row r="19" spans="1:23" ht="15" customHeight="1">
      <c r="A19" s="91"/>
      <c r="B19" s="106"/>
      <c r="C19" s="107"/>
      <c r="D19" s="26">
        <f t="shared" si="7"/>
        <v>-888</v>
      </c>
      <c r="E19" s="118"/>
      <c r="F19" s="117"/>
      <c r="G19" s="38">
        <f t="shared" si="8"/>
        <v>-888</v>
      </c>
      <c r="H19" s="106"/>
      <c r="I19" s="107"/>
      <c r="J19" s="26">
        <f t="shared" si="9"/>
        <v>-888</v>
      </c>
      <c r="K19" s="118"/>
      <c r="L19" s="117"/>
      <c r="M19" s="38">
        <f t="shared" si="10"/>
        <v>-888</v>
      </c>
      <c r="N19" s="106"/>
      <c r="O19" s="107"/>
      <c r="P19" s="26">
        <f t="shared" si="11"/>
        <v>-888</v>
      </c>
      <c r="Q19" s="163"/>
      <c r="R19" s="164"/>
      <c r="S19" s="38">
        <f t="shared" si="12"/>
        <v>-888</v>
      </c>
      <c r="T19" s="106"/>
      <c r="U19" s="107"/>
      <c r="V19" s="26">
        <f t="shared" si="13"/>
        <v>-888</v>
      </c>
      <c r="W19" s="99"/>
    </row>
    <row r="20" spans="1:23" ht="15" customHeight="1">
      <c r="A20" s="91"/>
      <c r="B20" s="106"/>
      <c r="C20" s="107"/>
      <c r="D20" s="26">
        <f t="shared" si="7"/>
        <v>-888</v>
      </c>
      <c r="E20" s="165"/>
      <c r="F20" s="117"/>
      <c r="G20" s="38">
        <f t="shared" si="8"/>
        <v>-888</v>
      </c>
      <c r="H20" s="106"/>
      <c r="I20" s="107"/>
      <c r="J20" s="26">
        <f t="shared" si="9"/>
        <v>-888</v>
      </c>
      <c r="K20" s="118"/>
      <c r="L20" s="117"/>
      <c r="M20" s="38">
        <f t="shared" si="10"/>
        <v>-888</v>
      </c>
      <c r="N20" s="106"/>
      <c r="O20" s="107"/>
      <c r="P20" s="26">
        <f t="shared" si="11"/>
        <v>-888</v>
      </c>
      <c r="Q20" s="118"/>
      <c r="R20" s="117"/>
      <c r="S20" s="38">
        <f t="shared" si="12"/>
        <v>-888</v>
      </c>
      <c r="T20" s="106"/>
      <c r="U20" s="107"/>
      <c r="V20" s="26">
        <f t="shared" si="13"/>
        <v>-888</v>
      </c>
      <c r="W20" s="100" t="s">
        <v>18</v>
      </c>
    </row>
    <row r="21" spans="1:23" ht="15" customHeight="1">
      <c r="A21" s="91"/>
      <c r="B21" s="106"/>
      <c r="C21" s="107"/>
      <c r="D21" s="26">
        <f t="shared" si="7"/>
        <v>-888</v>
      </c>
      <c r="E21" s="118"/>
      <c r="F21" s="117"/>
      <c r="G21" s="38">
        <f t="shared" si="8"/>
        <v>-888</v>
      </c>
      <c r="H21" s="106"/>
      <c r="I21" s="107"/>
      <c r="J21" s="26">
        <f t="shared" si="9"/>
        <v>-888</v>
      </c>
      <c r="K21" s="118"/>
      <c r="L21" s="117"/>
      <c r="M21" s="38">
        <f t="shared" si="10"/>
        <v>-888</v>
      </c>
      <c r="N21" s="106"/>
      <c r="O21" s="107"/>
      <c r="P21" s="26">
        <f t="shared" si="11"/>
        <v>-888</v>
      </c>
      <c r="Q21" s="118"/>
      <c r="R21" s="117"/>
      <c r="S21" s="38">
        <f t="shared" si="12"/>
        <v>-888</v>
      </c>
      <c r="T21" s="106"/>
      <c r="U21" s="107"/>
      <c r="V21" s="26">
        <f t="shared" si="13"/>
        <v>-888</v>
      </c>
      <c r="W21" s="101" t="s">
        <v>19</v>
      </c>
    </row>
    <row r="22" spans="1:23" ht="15" customHeight="1">
      <c r="A22" s="91"/>
      <c r="B22" s="166"/>
      <c r="C22" s="167"/>
      <c r="D22" s="39">
        <f t="shared" si="7"/>
        <v>-888</v>
      </c>
      <c r="E22" s="154"/>
      <c r="F22" s="128"/>
      <c r="G22" s="40">
        <f t="shared" si="8"/>
        <v>-888</v>
      </c>
      <c r="H22" s="122"/>
      <c r="I22" s="123"/>
      <c r="J22" s="39">
        <f t="shared" si="9"/>
        <v>-888</v>
      </c>
      <c r="K22" s="154"/>
      <c r="L22" s="128"/>
      <c r="M22" s="40">
        <f t="shared" si="10"/>
        <v>-888</v>
      </c>
      <c r="N22" s="122"/>
      <c r="O22" s="123"/>
      <c r="P22" s="39">
        <f t="shared" si="11"/>
        <v>-888</v>
      </c>
      <c r="Q22" s="154"/>
      <c r="R22" s="128"/>
      <c r="S22" s="40">
        <f t="shared" si="12"/>
        <v>-888</v>
      </c>
      <c r="T22" s="122"/>
      <c r="U22" s="123"/>
      <c r="V22" s="39">
        <f t="shared" si="13"/>
        <v>-888</v>
      </c>
      <c r="W22" s="99"/>
    </row>
    <row r="23" spans="1:23" ht="17.25" customHeight="1">
      <c r="A23" s="162"/>
      <c r="B23" s="77">
        <f ca="1">IFERROR(__xludf.DUMMYFUNCTION("DATE(VALUE(LEFT($B$2,4)),VALUE(MID($B$2,6,2)),VALUE(RIGHT($B$2,2)))
+ (VALUE(REGEXEXTRACT(INDIRECT(""A""&amp;ROW()+1),""\d+""))-1)*7
+ INT((COLUMN()-COLUMN($B23))/3)
"),46397)</f>
        <v>46397</v>
      </c>
      <c r="C23" s="81"/>
      <c r="D23" s="82"/>
      <c r="E23" s="77">
        <f ca="1">IFERROR(__xludf.DUMMYFUNCTION("DATE(VALUE(LEFT($B$2,4)),VALUE(MID($B$2,6,2)),VALUE(RIGHT($B$2,2)))
+ (VALUE(REGEXEXTRACT(INDIRECT(""A""&amp;ROW()+1),""\d+""))-1)*7
+ INT((COLUMN()-COLUMN($B23))/3)
"),46398)</f>
        <v>46398</v>
      </c>
      <c r="F23" s="81"/>
      <c r="G23" s="82"/>
      <c r="H23" s="77">
        <f ca="1">IFERROR(__xludf.DUMMYFUNCTION("DATE(VALUE(LEFT($B$2,4)),VALUE(MID($B$2,6,2)),VALUE(RIGHT($B$2,2)))
+ (VALUE(REGEXEXTRACT(INDIRECT(""A""&amp;ROW()+1),""\d+""))-1)*7
+ INT((COLUMN()-COLUMN($B23))/3)
"),46399)</f>
        <v>46399</v>
      </c>
      <c r="I23" s="81"/>
      <c r="J23" s="82"/>
      <c r="K23" s="77">
        <f ca="1">IFERROR(__xludf.DUMMYFUNCTION("DATE(VALUE(LEFT($B$2,4)),VALUE(MID($B$2,6,2)),VALUE(RIGHT($B$2,2)))
+ (VALUE(REGEXEXTRACT(INDIRECT(""A""&amp;ROW()+1),""\d+""))-1)*7
+ INT((COLUMN()-COLUMN($B23))/3)
"),46400)</f>
        <v>46400</v>
      </c>
      <c r="L23" s="81"/>
      <c r="M23" s="82"/>
      <c r="N23" s="77">
        <f ca="1">IFERROR(__xludf.DUMMYFUNCTION("DATE(VALUE(LEFT($B$2,4)),VALUE(MID($B$2,6,2)),VALUE(RIGHT($B$2,2)))
+ (VALUE(REGEXEXTRACT(INDIRECT(""A""&amp;ROW()+1),""\d+""))-1)*7
+ INT((COLUMN()-COLUMN($B23))/3)
"),46401)</f>
        <v>46401</v>
      </c>
      <c r="O23" s="81"/>
      <c r="P23" s="82"/>
      <c r="Q23" s="77">
        <f ca="1">IFERROR(__xludf.DUMMYFUNCTION("DATE(VALUE(LEFT($B$2,4)),VALUE(MID($B$2,6,2)),VALUE(RIGHT($B$2,2)))
+ (VALUE(REGEXEXTRACT(INDIRECT(""A""&amp;ROW()+1),""\d+""))-1)*7
+ INT((COLUMN()-COLUMN($B23))/3)
"),46402)</f>
        <v>46402</v>
      </c>
      <c r="R23" s="81"/>
      <c r="S23" s="82"/>
      <c r="T23" s="77">
        <f ca="1">IFERROR(__xludf.DUMMYFUNCTION("DATE(VALUE(LEFT($B$2,4)),VALUE(MID($B$2,6,2)),VALUE(RIGHT($B$2,2)))
+ (VALUE(REGEXEXTRACT(INDIRECT(""A""&amp;ROW()+1),""\d+""))-1)*7
+ INT((COLUMN()-COLUMN($B23))/3)
"),46403)</f>
        <v>46403</v>
      </c>
      <c r="U23" s="81"/>
      <c r="V23" s="82"/>
      <c r="W23" s="41" t="s">
        <v>20</v>
      </c>
    </row>
    <row r="24" spans="1:23" ht="15" customHeight="1">
      <c r="A24" s="14" t="s">
        <v>137</v>
      </c>
      <c r="B24" s="35" t="s">
        <v>74</v>
      </c>
      <c r="C24" s="35">
        <v>-75</v>
      </c>
      <c r="D24" s="42">
        <f>V22+C24</f>
        <v>-963</v>
      </c>
      <c r="E24" s="112"/>
      <c r="F24" s="111"/>
      <c r="G24" s="18">
        <f>D33+F24</f>
        <v>-1128</v>
      </c>
      <c r="H24" s="113"/>
      <c r="I24" s="109"/>
      <c r="J24" s="42">
        <f>G33+I24</f>
        <v>-1128</v>
      </c>
      <c r="K24" s="112"/>
      <c r="L24" s="111"/>
      <c r="M24" s="18">
        <f>J33+L24</f>
        <v>-1128</v>
      </c>
      <c r="N24" s="113"/>
      <c r="O24" s="109"/>
      <c r="P24" s="35">
        <f>M33+O24</f>
        <v>-1128</v>
      </c>
      <c r="Q24" s="112"/>
      <c r="R24" s="111"/>
      <c r="S24" s="18">
        <f>P33+F128</f>
        <v>-1128</v>
      </c>
      <c r="T24" s="113"/>
      <c r="U24" s="109"/>
      <c r="V24" s="42">
        <f>S33+U24</f>
        <v>-1128</v>
      </c>
      <c r="W24" s="43">
        <v>500</v>
      </c>
    </row>
    <row r="25" spans="1:23" ht="15" customHeight="1">
      <c r="A25" s="91"/>
      <c r="B25" s="38" t="s">
        <v>76</v>
      </c>
      <c r="C25" s="38">
        <v>-25</v>
      </c>
      <c r="D25" s="19">
        <f t="shared" ref="D25:D33" si="14">D24+C25</f>
        <v>-988</v>
      </c>
      <c r="E25" s="106"/>
      <c r="F25" s="107"/>
      <c r="G25" s="23">
        <f t="shared" ref="G25:G33" si="15">G24+F25</f>
        <v>-1128</v>
      </c>
      <c r="H25" s="118"/>
      <c r="I25" s="117"/>
      <c r="J25" s="19">
        <f t="shared" ref="J25:J33" si="16">J24+I25</f>
        <v>-1128</v>
      </c>
      <c r="K25" s="106"/>
      <c r="L25" s="107"/>
      <c r="M25" s="26">
        <f t="shared" ref="M25:M33" si="17">M24+L25</f>
        <v>-1128</v>
      </c>
      <c r="N25" s="118"/>
      <c r="O25" s="117"/>
      <c r="P25" s="38">
        <f t="shared" ref="P25:P33" si="18">P24+O25</f>
        <v>-1128</v>
      </c>
      <c r="Q25" s="106"/>
      <c r="R25" s="107"/>
      <c r="S25" s="26">
        <f t="shared" ref="S25:S33" si="19">S24+R25</f>
        <v>-1128</v>
      </c>
      <c r="T25" s="118"/>
      <c r="U25" s="117"/>
      <c r="V25" s="19">
        <f t="shared" ref="V25:V33" si="20">V24+U25</f>
        <v>-1128</v>
      </c>
      <c r="W25" s="95"/>
    </row>
    <row r="26" spans="1:23" ht="15" customHeight="1">
      <c r="A26" s="91"/>
      <c r="B26" s="38" t="s">
        <v>90</v>
      </c>
      <c r="C26" s="38">
        <v>-65</v>
      </c>
      <c r="D26" s="19">
        <f t="shared" si="14"/>
        <v>-1053</v>
      </c>
      <c r="E26" s="106"/>
      <c r="F26" s="107"/>
      <c r="G26" s="23">
        <f t="shared" si="15"/>
        <v>-1128</v>
      </c>
      <c r="H26" s="118"/>
      <c r="I26" s="117"/>
      <c r="J26" s="19">
        <f t="shared" si="16"/>
        <v>-1128</v>
      </c>
      <c r="K26" s="106"/>
      <c r="L26" s="107"/>
      <c r="M26" s="26">
        <f t="shared" si="17"/>
        <v>-1128</v>
      </c>
      <c r="N26" s="118"/>
      <c r="O26" s="117"/>
      <c r="P26" s="19">
        <f t="shared" si="18"/>
        <v>-1128</v>
      </c>
      <c r="Q26" s="106"/>
      <c r="R26" s="107"/>
      <c r="S26" s="26">
        <f t="shared" si="19"/>
        <v>-1128</v>
      </c>
      <c r="T26" s="118"/>
      <c r="U26" s="117"/>
      <c r="V26" s="19">
        <f t="shared" si="20"/>
        <v>-1128</v>
      </c>
      <c r="W26" s="95"/>
    </row>
    <row r="27" spans="1:23" ht="15" customHeight="1">
      <c r="A27" s="91"/>
      <c r="B27" s="44" t="s">
        <v>138</v>
      </c>
      <c r="C27" s="38">
        <v>-75</v>
      </c>
      <c r="D27" s="19">
        <f t="shared" si="14"/>
        <v>-1128</v>
      </c>
      <c r="E27" s="106"/>
      <c r="F27" s="107"/>
      <c r="G27" s="23">
        <f t="shared" si="15"/>
        <v>-1128</v>
      </c>
      <c r="H27" s="118"/>
      <c r="I27" s="117"/>
      <c r="J27" s="19">
        <f t="shared" si="16"/>
        <v>-1128</v>
      </c>
      <c r="K27" s="106"/>
      <c r="L27" s="107"/>
      <c r="M27" s="26">
        <f t="shared" si="17"/>
        <v>-1128</v>
      </c>
      <c r="N27" s="118"/>
      <c r="O27" s="117"/>
      <c r="P27" s="38">
        <f t="shared" si="18"/>
        <v>-1128</v>
      </c>
      <c r="Q27" s="106"/>
      <c r="R27" s="107"/>
      <c r="S27" s="26">
        <f t="shared" si="19"/>
        <v>-1128</v>
      </c>
      <c r="T27" s="118"/>
      <c r="U27" s="117"/>
      <c r="V27" s="19">
        <f t="shared" si="20"/>
        <v>-1128</v>
      </c>
      <c r="W27" s="95"/>
    </row>
    <row r="28" spans="1:23" ht="15" customHeight="1">
      <c r="A28" s="91"/>
      <c r="B28" s="117"/>
      <c r="C28" s="117"/>
      <c r="D28" s="19">
        <f t="shared" si="14"/>
        <v>-1128</v>
      </c>
      <c r="E28" s="106"/>
      <c r="F28" s="107"/>
      <c r="G28" s="23">
        <f t="shared" si="15"/>
        <v>-1128</v>
      </c>
      <c r="H28" s="118"/>
      <c r="I28" s="117"/>
      <c r="J28" s="19">
        <f t="shared" si="16"/>
        <v>-1128</v>
      </c>
      <c r="K28" s="106"/>
      <c r="L28" s="107"/>
      <c r="M28" s="26">
        <f t="shared" si="17"/>
        <v>-1128</v>
      </c>
      <c r="N28" s="118"/>
      <c r="O28" s="117"/>
      <c r="P28" s="38">
        <f t="shared" si="18"/>
        <v>-1128</v>
      </c>
      <c r="Q28" s="106"/>
      <c r="R28" s="107"/>
      <c r="S28" s="26">
        <f t="shared" si="19"/>
        <v>-1128</v>
      </c>
      <c r="T28" s="118"/>
      <c r="U28" s="117"/>
      <c r="V28" s="45">
        <f t="shared" si="20"/>
        <v>-1128</v>
      </c>
      <c r="W28" s="143"/>
    </row>
    <row r="29" spans="1:23" ht="15" customHeight="1">
      <c r="A29" s="91"/>
      <c r="B29" s="118"/>
      <c r="C29" s="117"/>
      <c r="D29" s="19">
        <f t="shared" si="14"/>
        <v>-1128</v>
      </c>
      <c r="E29" s="106"/>
      <c r="F29" s="107"/>
      <c r="G29" s="23">
        <f t="shared" si="15"/>
        <v>-1128</v>
      </c>
      <c r="H29" s="118"/>
      <c r="I29" s="117"/>
      <c r="J29" s="19">
        <f t="shared" si="16"/>
        <v>-1128</v>
      </c>
      <c r="K29" s="106"/>
      <c r="L29" s="107"/>
      <c r="M29" s="26">
        <f t="shared" si="17"/>
        <v>-1128</v>
      </c>
      <c r="N29" s="118"/>
      <c r="O29" s="117"/>
      <c r="P29" s="38">
        <f t="shared" si="18"/>
        <v>-1128</v>
      </c>
      <c r="Q29" s="106"/>
      <c r="R29" s="107"/>
      <c r="S29" s="26">
        <f t="shared" si="19"/>
        <v>-1128</v>
      </c>
      <c r="T29" s="118"/>
      <c r="U29" s="117"/>
      <c r="V29" s="45">
        <f t="shared" si="20"/>
        <v>-1128</v>
      </c>
      <c r="W29" s="143"/>
    </row>
    <row r="30" spans="1:23" ht="15" customHeight="1">
      <c r="A30" s="91"/>
      <c r="B30" s="118"/>
      <c r="C30" s="117"/>
      <c r="D30" s="19">
        <f t="shared" si="14"/>
        <v>-1128</v>
      </c>
      <c r="E30" s="112"/>
      <c r="F30" s="107"/>
      <c r="G30" s="23">
        <f t="shared" si="15"/>
        <v>-1128</v>
      </c>
      <c r="H30" s="118"/>
      <c r="I30" s="117"/>
      <c r="J30" s="19">
        <f t="shared" si="16"/>
        <v>-1128</v>
      </c>
      <c r="K30" s="106"/>
      <c r="L30" s="107"/>
      <c r="M30" s="26">
        <f t="shared" si="17"/>
        <v>-1128</v>
      </c>
      <c r="N30" s="118"/>
      <c r="O30" s="117"/>
      <c r="P30" s="38">
        <f t="shared" si="18"/>
        <v>-1128</v>
      </c>
      <c r="Q30" s="106"/>
      <c r="R30" s="107"/>
      <c r="S30" s="26">
        <f t="shared" si="19"/>
        <v>-1128</v>
      </c>
      <c r="T30" s="118"/>
      <c r="U30" s="117"/>
      <c r="V30" s="45">
        <f t="shared" si="20"/>
        <v>-1128</v>
      </c>
      <c r="W30" s="143"/>
    </row>
    <row r="31" spans="1:23" ht="15" customHeight="1">
      <c r="A31" s="91"/>
      <c r="B31" s="118"/>
      <c r="C31" s="117"/>
      <c r="D31" s="19">
        <f t="shared" si="14"/>
        <v>-1128</v>
      </c>
      <c r="E31" s="112"/>
      <c r="F31" s="107"/>
      <c r="G31" s="23">
        <f t="shared" si="15"/>
        <v>-1128</v>
      </c>
      <c r="H31" s="118"/>
      <c r="I31" s="117"/>
      <c r="J31" s="19">
        <f t="shared" si="16"/>
        <v>-1128</v>
      </c>
      <c r="K31" s="106"/>
      <c r="L31" s="107"/>
      <c r="M31" s="26">
        <f t="shared" si="17"/>
        <v>-1128</v>
      </c>
      <c r="N31" s="118"/>
      <c r="O31" s="117"/>
      <c r="P31" s="38">
        <f t="shared" si="18"/>
        <v>-1128</v>
      </c>
      <c r="Q31" s="106"/>
      <c r="R31" s="107"/>
      <c r="S31" s="26">
        <f t="shared" si="19"/>
        <v>-1128</v>
      </c>
      <c r="T31" s="118"/>
      <c r="U31" s="117"/>
      <c r="V31" s="45">
        <f t="shared" si="20"/>
        <v>-1128</v>
      </c>
      <c r="W31" s="143"/>
    </row>
    <row r="32" spans="1:23" ht="15" customHeight="1">
      <c r="A32" s="91"/>
      <c r="B32" s="118"/>
      <c r="C32" s="117"/>
      <c r="D32" s="19">
        <f t="shared" si="14"/>
        <v>-1128</v>
      </c>
      <c r="E32" s="112"/>
      <c r="F32" s="107"/>
      <c r="G32" s="23">
        <f t="shared" si="15"/>
        <v>-1128</v>
      </c>
      <c r="H32" s="118"/>
      <c r="I32" s="117"/>
      <c r="J32" s="19">
        <f t="shared" si="16"/>
        <v>-1128</v>
      </c>
      <c r="K32" s="106"/>
      <c r="L32" s="107"/>
      <c r="M32" s="26">
        <f t="shared" si="17"/>
        <v>-1128</v>
      </c>
      <c r="N32" s="118"/>
      <c r="O32" s="117"/>
      <c r="P32" s="38">
        <f t="shared" si="18"/>
        <v>-1128</v>
      </c>
      <c r="Q32" s="106"/>
      <c r="R32" s="107"/>
      <c r="S32" s="26">
        <f t="shared" si="19"/>
        <v>-1128</v>
      </c>
      <c r="T32" s="118"/>
      <c r="U32" s="117"/>
      <c r="V32" s="45">
        <f t="shared" si="20"/>
        <v>-1128</v>
      </c>
      <c r="W32" s="143"/>
    </row>
    <row r="33" spans="1:23" ht="15" customHeight="1">
      <c r="A33" s="91"/>
      <c r="B33" s="154"/>
      <c r="C33" s="128"/>
      <c r="D33" s="29">
        <f t="shared" si="14"/>
        <v>-1128</v>
      </c>
      <c r="E33" s="122"/>
      <c r="F33" s="123"/>
      <c r="G33" s="31">
        <f t="shared" si="15"/>
        <v>-1128</v>
      </c>
      <c r="H33" s="154"/>
      <c r="I33" s="128"/>
      <c r="J33" s="29">
        <f t="shared" si="16"/>
        <v>-1128</v>
      </c>
      <c r="K33" s="122"/>
      <c r="L33" s="123"/>
      <c r="M33" s="39">
        <f t="shared" si="17"/>
        <v>-1128</v>
      </c>
      <c r="N33" s="154"/>
      <c r="O33" s="128"/>
      <c r="P33" s="40">
        <f t="shared" si="18"/>
        <v>-1128</v>
      </c>
      <c r="Q33" s="122"/>
      <c r="R33" s="123"/>
      <c r="S33" s="39">
        <f t="shared" si="19"/>
        <v>-1128</v>
      </c>
      <c r="T33" s="154"/>
      <c r="U33" s="128"/>
      <c r="V33" s="46">
        <f t="shared" si="20"/>
        <v>-1128</v>
      </c>
      <c r="W33" s="143"/>
    </row>
    <row r="34" spans="1:23" ht="17.25" customHeight="1">
      <c r="A34" s="162"/>
      <c r="B34" s="77">
        <f ca="1">IFERROR(__xludf.DUMMYFUNCTION("DATE(VALUE(LEFT($B$2,4)),VALUE(MID($B$2,6,2)),VALUE(RIGHT($B$2,2)))
+ (VALUE(REGEXEXTRACT(INDIRECT(""A""&amp;ROW()+1),""\d+""))-1)*7
+ INT((COLUMN()-COLUMN($B34))/3)
"),46404)</f>
        <v>46404</v>
      </c>
      <c r="C34" s="81"/>
      <c r="D34" s="82"/>
      <c r="E34" s="77">
        <f ca="1">IFERROR(__xludf.DUMMYFUNCTION("DATE(VALUE(LEFT($B$2,4)),VALUE(MID($B$2,6,2)),VALUE(RIGHT($B$2,2)))
+ (VALUE(REGEXEXTRACT(INDIRECT(""A""&amp;ROW()+1),""\d+""))-1)*7
+ INT((COLUMN()-COLUMN($B34))/3)
"),46405)</f>
        <v>46405</v>
      </c>
      <c r="F34" s="81"/>
      <c r="G34" s="82"/>
      <c r="H34" s="77">
        <f ca="1">IFERROR(__xludf.DUMMYFUNCTION("DATE(VALUE(LEFT($B$2,4)),VALUE(MID($B$2,6,2)),VALUE(RIGHT($B$2,2)))
+ (VALUE(REGEXEXTRACT(INDIRECT(""A""&amp;ROW()+1),""\d+""))-1)*7
+ INT((COLUMN()-COLUMN($B34))/3)
"),46406)</f>
        <v>46406</v>
      </c>
      <c r="I34" s="81"/>
      <c r="J34" s="82"/>
      <c r="K34" s="77">
        <f ca="1">IFERROR(__xludf.DUMMYFUNCTION("DATE(VALUE(LEFT($B$2,4)),VALUE(MID($B$2,6,2)),VALUE(RIGHT($B$2,2)))
+ (VALUE(REGEXEXTRACT(INDIRECT(""A""&amp;ROW()+1),""\d+""))-1)*7
+ INT((COLUMN()-COLUMN($B34))/3)
"),46407)</f>
        <v>46407</v>
      </c>
      <c r="L34" s="81"/>
      <c r="M34" s="82"/>
      <c r="N34" s="77">
        <f ca="1">IFERROR(__xludf.DUMMYFUNCTION("DATE(VALUE(LEFT($B$2,4)),VALUE(MID($B$2,6,2)),VALUE(RIGHT($B$2,2)))
+ (VALUE(REGEXEXTRACT(INDIRECT(""A""&amp;ROW()+1),""\d+""))-1)*7
+ INT((COLUMN()-COLUMN($B34))/3)
"),46408)</f>
        <v>46408</v>
      </c>
      <c r="O34" s="81"/>
      <c r="P34" s="82"/>
      <c r="Q34" s="77">
        <f ca="1">IFERROR(__xludf.DUMMYFUNCTION("DATE(VALUE(LEFT($B$2,4)),VALUE(MID($B$2,6,2)),VALUE(RIGHT($B$2,2)))
+ (VALUE(REGEXEXTRACT(INDIRECT(""A""&amp;ROW()+1),""\d+""))-1)*7
+ INT((COLUMN()-COLUMN($B34))/3)
"),46409)</f>
        <v>46409</v>
      </c>
      <c r="R34" s="81"/>
      <c r="S34" s="82"/>
      <c r="T34" s="77">
        <f ca="1">IFERROR(__xludf.DUMMYFUNCTION("DATE(VALUE(LEFT($B$2,4)),VALUE(MID($B$2,6,2)),VALUE(RIGHT($B$2,2)))
+ (VALUE(REGEXEXTRACT(INDIRECT(""A""&amp;ROW()+1),""\d+""))-1)*7
+ INT((COLUMN()-COLUMN($B34))/3)
"),46410)</f>
        <v>46410</v>
      </c>
      <c r="U34" s="81"/>
      <c r="V34" s="82"/>
      <c r="W34" s="143"/>
    </row>
    <row r="35" spans="1:23" ht="15" customHeight="1">
      <c r="A35" s="47" t="s">
        <v>139</v>
      </c>
      <c r="B35" s="34" t="s">
        <v>74</v>
      </c>
      <c r="C35" s="18">
        <v>-75</v>
      </c>
      <c r="D35" s="17">
        <f>V33+C35</f>
        <v>-1203</v>
      </c>
      <c r="E35" s="113"/>
      <c r="F35" s="109"/>
      <c r="G35" s="42">
        <f>D44+F35</f>
        <v>-1293</v>
      </c>
      <c r="H35" s="112"/>
      <c r="I35" s="111"/>
      <c r="J35" s="17">
        <f>G44+I35</f>
        <v>-1293</v>
      </c>
      <c r="K35" s="113"/>
      <c r="L35" s="109"/>
      <c r="M35" s="35">
        <f>J44+L35</f>
        <v>-1293</v>
      </c>
      <c r="N35" s="112"/>
      <c r="O35" s="111"/>
      <c r="P35" s="17">
        <f>M44+O35</f>
        <v>-1293</v>
      </c>
      <c r="Q35" s="113"/>
      <c r="R35" s="109"/>
      <c r="S35" s="35">
        <f>P44+R35</f>
        <v>-1293</v>
      </c>
      <c r="T35" s="112"/>
      <c r="U35" s="111"/>
      <c r="V35" s="48">
        <f>S44+U35</f>
        <v>-1293</v>
      </c>
      <c r="W35" s="143"/>
    </row>
    <row r="36" spans="1:23" ht="15" customHeight="1">
      <c r="A36" s="114"/>
      <c r="B36" s="37" t="s">
        <v>76</v>
      </c>
      <c r="C36" s="23">
        <v>-25</v>
      </c>
      <c r="D36" s="26">
        <f t="shared" ref="D36:D44" si="21">D35+C36</f>
        <v>-1228</v>
      </c>
      <c r="E36" s="118"/>
      <c r="F36" s="117"/>
      <c r="G36" s="19">
        <f t="shared" ref="G36:G44" si="22">G35+F36</f>
        <v>-1293</v>
      </c>
      <c r="H36" s="106"/>
      <c r="I36" s="107"/>
      <c r="J36" s="26">
        <f t="shared" ref="J36:J44" si="23">J35+I36</f>
        <v>-1293</v>
      </c>
      <c r="K36" s="118"/>
      <c r="L36" s="117"/>
      <c r="M36" s="38">
        <f t="shared" ref="M36:M44" si="24">M35+L36</f>
        <v>-1293</v>
      </c>
      <c r="N36" s="106"/>
      <c r="O36" s="107"/>
      <c r="P36" s="26">
        <f t="shared" ref="P36:P44" si="25">P35+O36</f>
        <v>-1293</v>
      </c>
      <c r="Q36" s="118"/>
      <c r="R36" s="117"/>
      <c r="S36" s="38">
        <f t="shared" ref="S36:S44" si="26">S35+R36</f>
        <v>-1293</v>
      </c>
      <c r="T36" s="106"/>
      <c r="U36" s="107"/>
      <c r="V36" s="20">
        <f t="shared" ref="V36:V44" si="27">V35+U36</f>
        <v>-1293</v>
      </c>
      <c r="W36" s="143"/>
    </row>
    <row r="37" spans="1:23" ht="15" customHeight="1">
      <c r="A37" s="114"/>
      <c r="B37" s="37" t="s">
        <v>79</v>
      </c>
      <c r="C37" s="23">
        <v>-65</v>
      </c>
      <c r="D37" s="26">
        <f t="shared" si="21"/>
        <v>-1293</v>
      </c>
      <c r="E37" s="118"/>
      <c r="F37" s="117"/>
      <c r="G37" s="19">
        <f t="shared" si="22"/>
        <v>-1293</v>
      </c>
      <c r="H37" s="106"/>
      <c r="I37" s="107"/>
      <c r="J37" s="26">
        <f t="shared" si="23"/>
        <v>-1293</v>
      </c>
      <c r="K37" s="117"/>
      <c r="L37" s="117"/>
      <c r="M37" s="38">
        <f t="shared" si="24"/>
        <v>-1293</v>
      </c>
      <c r="N37" s="106"/>
      <c r="O37" s="107"/>
      <c r="P37" s="26">
        <f t="shared" si="25"/>
        <v>-1293</v>
      </c>
      <c r="Q37" s="118"/>
      <c r="R37" s="117"/>
      <c r="S37" s="38">
        <f t="shared" si="26"/>
        <v>-1293</v>
      </c>
      <c r="T37" s="106"/>
      <c r="U37" s="107"/>
      <c r="V37" s="20">
        <f t="shared" si="27"/>
        <v>-1293</v>
      </c>
      <c r="W37" s="143"/>
    </row>
    <row r="38" spans="1:23" ht="15" customHeight="1">
      <c r="A38" s="114"/>
      <c r="B38" s="106"/>
      <c r="C38" s="107"/>
      <c r="D38" s="26">
        <f t="shared" si="21"/>
        <v>-1293</v>
      </c>
      <c r="E38" s="118"/>
      <c r="F38" s="117"/>
      <c r="G38" s="19">
        <f t="shared" si="22"/>
        <v>-1293</v>
      </c>
      <c r="H38" s="106"/>
      <c r="I38" s="107"/>
      <c r="J38" s="26">
        <f t="shared" si="23"/>
        <v>-1293</v>
      </c>
      <c r="K38" s="117"/>
      <c r="L38" s="117"/>
      <c r="M38" s="38">
        <f t="shared" si="24"/>
        <v>-1293</v>
      </c>
      <c r="N38" s="106"/>
      <c r="O38" s="107"/>
      <c r="P38" s="26">
        <f t="shared" si="25"/>
        <v>-1293</v>
      </c>
      <c r="Q38" s="118"/>
      <c r="R38" s="117"/>
      <c r="S38" s="38">
        <f t="shared" si="26"/>
        <v>-1293</v>
      </c>
      <c r="T38" s="106"/>
      <c r="U38" s="107"/>
      <c r="V38" s="20">
        <f t="shared" si="27"/>
        <v>-1293</v>
      </c>
      <c r="W38" s="143"/>
    </row>
    <row r="39" spans="1:23" ht="15" customHeight="1">
      <c r="A39" s="114"/>
      <c r="B39" s="106"/>
      <c r="C39" s="107"/>
      <c r="D39" s="26">
        <f t="shared" si="21"/>
        <v>-1293</v>
      </c>
      <c r="E39" s="118"/>
      <c r="F39" s="117"/>
      <c r="G39" s="19">
        <f t="shared" si="22"/>
        <v>-1293</v>
      </c>
      <c r="H39" s="106"/>
      <c r="I39" s="107"/>
      <c r="J39" s="26">
        <f t="shared" si="23"/>
        <v>-1293</v>
      </c>
      <c r="K39" s="117"/>
      <c r="L39" s="117"/>
      <c r="M39" s="38">
        <f t="shared" si="24"/>
        <v>-1293</v>
      </c>
      <c r="N39" s="106"/>
      <c r="O39" s="107"/>
      <c r="P39" s="26">
        <f t="shared" si="25"/>
        <v>-1293</v>
      </c>
      <c r="Q39" s="118"/>
      <c r="R39" s="117"/>
      <c r="S39" s="38">
        <f t="shared" si="26"/>
        <v>-1293</v>
      </c>
      <c r="T39" s="106"/>
      <c r="U39" s="107"/>
      <c r="V39" s="20">
        <f t="shared" si="27"/>
        <v>-1293</v>
      </c>
      <c r="W39" s="143"/>
    </row>
    <row r="40" spans="1:23" ht="15" customHeight="1">
      <c r="A40" s="114"/>
      <c r="B40" s="106"/>
      <c r="C40" s="107"/>
      <c r="D40" s="26">
        <f t="shared" si="21"/>
        <v>-1293</v>
      </c>
      <c r="E40" s="118"/>
      <c r="F40" s="117"/>
      <c r="G40" s="19">
        <f t="shared" si="22"/>
        <v>-1293</v>
      </c>
      <c r="H40" s="116"/>
      <c r="I40" s="107"/>
      <c r="J40" s="26">
        <f t="shared" si="23"/>
        <v>-1293</v>
      </c>
      <c r="K40" s="117"/>
      <c r="L40" s="117"/>
      <c r="M40" s="38">
        <f t="shared" si="24"/>
        <v>-1293</v>
      </c>
      <c r="N40" s="106"/>
      <c r="O40" s="107"/>
      <c r="P40" s="26">
        <f t="shared" si="25"/>
        <v>-1293</v>
      </c>
      <c r="Q40" s="118"/>
      <c r="R40" s="117"/>
      <c r="S40" s="38">
        <f t="shared" si="26"/>
        <v>-1293</v>
      </c>
      <c r="T40" s="106"/>
      <c r="U40" s="107"/>
      <c r="V40" s="20">
        <f t="shared" si="27"/>
        <v>-1293</v>
      </c>
      <c r="W40" s="143"/>
    </row>
    <row r="41" spans="1:23" ht="15" customHeight="1">
      <c r="A41" s="114"/>
      <c r="B41" s="106"/>
      <c r="C41" s="107"/>
      <c r="D41" s="26">
        <f t="shared" si="21"/>
        <v>-1293</v>
      </c>
      <c r="E41" s="118"/>
      <c r="F41" s="117"/>
      <c r="G41" s="19">
        <f t="shared" si="22"/>
        <v>-1293</v>
      </c>
      <c r="H41" s="106"/>
      <c r="I41" s="107"/>
      <c r="J41" s="26">
        <f t="shared" si="23"/>
        <v>-1293</v>
      </c>
      <c r="K41" s="117"/>
      <c r="L41" s="117"/>
      <c r="M41" s="38">
        <f t="shared" si="24"/>
        <v>-1293</v>
      </c>
      <c r="N41" s="106"/>
      <c r="O41" s="107"/>
      <c r="P41" s="26">
        <f t="shared" si="25"/>
        <v>-1293</v>
      </c>
      <c r="Q41" s="118"/>
      <c r="R41" s="117"/>
      <c r="S41" s="38">
        <f t="shared" si="26"/>
        <v>-1293</v>
      </c>
      <c r="T41" s="106"/>
      <c r="U41" s="107"/>
      <c r="V41" s="20">
        <f t="shared" si="27"/>
        <v>-1293</v>
      </c>
      <c r="W41" s="143"/>
    </row>
    <row r="42" spans="1:23" ht="15" customHeight="1">
      <c r="A42" s="114"/>
      <c r="B42" s="106"/>
      <c r="C42" s="107"/>
      <c r="D42" s="26">
        <f t="shared" si="21"/>
        <v>-1293</v>
      </c>
      <c r="E42" s="118"/>
      <c r="F42" s="117"/>
      <c r="G42" s="19">
        <f t="shared" si="22"/>
        <v>-1293</v>
      </c>
      <c r="H42" s="106"/>
      <c r="I42" s="107"/>
      <c r="J42" s="26">
        <f t="shared" si="23"/>
        <v>-1293</v>
      </c>
      <c r="K42" s="117"/>
      <c r="L42" s="117"/>
      <c r="M42" s="38">
        <f t="shared" si="24"/>
        <v>-1293</v>
      </c>
      <c r="N42" s="106"/>
      <c r="O42" s="107"/>
      <c r="P42" s="26">
        <f t="shared" si="25"/>
        <v>-1293</v>
      </c>
      <c r="Q42" s="118"/>
      <c r="R42" s="117"/>
      <c r="S42" s="38">
        <f t="shared" si="26"/>
        <v>-1293</v>
      </c>
      <c r="T42" s="106"/>
      <c r="U42" s="107"/>
      <c r="V42" s="20">
        <f t="shared" si="27"/>
        <v>-1293</v>
      </c>
      <c r="W42" s="143"/>
    </row>
    <row r="43" spans="1:23" ht="15" customHeight="1">
      <c r="A43" s="114"/>
      <c r="B43" s="106"/>
      <c r="C43" s="107"/>
      <c r="D43" s="26">
        <f t="shared" si="21"/>
        <v>-1293</v>
      </c>
      <c r="E43" s="118"/>
      <c r="F43" s="117"/>
      <c r="G43" s="19">
        <f t="shared" si="22"/>
        <v>-1293</v>
      </c>
      <c r="H43" s="106"/>
      <c r="I43" s="107"/>
      <c r="J43" s="26">
        <f t="shared" si="23"/>
        <v>-1293</v>
      </c>
      <c r="K43" s="117"/>
      <c r="L43" s="117"/>
      <c r="M43" s="38">
        <f t="shared" si="24"/>
        <v>-1293</v>
      </c>
      <c r="N43" s="106"/>
      <c r="O43" s="107"/>
      <c r="P43" s="26">
        <f t="shared" si="25"/>
        <v>-1293</v>
      </c>
      <c r="Q43" s="118"/>
      <c r="R43" s="117"/>
      <c r="S43" s="38">
        <f t="shared" si="26"/>
        <v>-1293</v>
      </c>
      <c r="T43" s="106"/>
      <c r="U43" s="107"/>
      <c r="V43" s="20">
        <f t="shared" si="27"/>
        <v>-1293</v>
      </c>
      <c r="W43" s="143"/>
    </row>
    <row r="44" spans="1:23" ht="15" customHeight="1">
      <c r="A44" s="114"/>
      <c r="B44" s="122"/>
      <c r="C44" s="123"/>
      <c r="D44" s="39">
        <f t="shared" si="21"/>
        <v>-1293</v>
      </c>
      <c r="E44" s="154"/>
      <c r="F44" s="128"/>
      <c r="G44" s="29">
        <f t="shared" si="22"/>
        <v>-1293</v>
      </c>
      <c r="H44" s="122"/>
      <c r="I44" s="123"/>
      <c r="J44" s="39">
        <f t="shared" si="23"/>
        <v>-1293</v>
      </c>
      <c r="K44" s="154"/>
      <c r="L44" s="128"/>
      <c r="M44" s="40">
        <f t="shared" si="24"/>
        <v>-1293</v>
      </c>
      <c r="N44" s="122"/>
      <c r="O44" s="123"/>
      <c r="P44" s="39">
        <f t="shared" si="25"/>
        <v>-1293</v>
      </c>
      <c r="Q44" s="154"/>
      <c r="R44" s="128"/>
      <c r="S44" s="40">
        <f t="shared" si="26"/>
        <v>-1293</v>
      </c>
      <c r="T44" s="122"/>
      <c r="U44" s="123"/>
      <c r="V44" s="49">
        <f t="shared" si="27"/>
        <v>-1293</v>
      </c>
      <c r="W44" s="143"/>
    </row>
    <row r="45" spans="1:23" ht="17.25" customHeight="1">
      <c r="A45" s="87"/>
      <c r="B45" s="77">
        <f ca="1">IFERROR(__xludf.DUMMYFUNCTION("DATE(VALUE(LEFT($B$2,4)),VALUE(MID($B$2,6,2)),VALUE(RIGHT($B$2,2)))
+ (VALUE(REGEXEXTRACT(INDIRECT(""A""&amp;ROW()+1),""\d+""))-1)*7
+ INT((COLUMN()-COLUMN($B45))/3)
"),46411)</f>
        <v>46411</v>
      </c>
      <c r="C45" s="81"/>
      <c r="D45" s="82"/>
      <c r="E45" s="77">
        <f ca="1">IFERROR(__xludf.DUMMYFUNCTION("DATE(VALUE(LEFT($B$2,4)),VALUE(MID($B$2,6,2)),VALUE(RIGHT($B$2,2)))
+ (VALUE(REGEXEXTRACT(INDIRECT(""A""&amp;ROW()+1),""\d+""))-1)*7
+ INT((COLUMN()-COLUMN($B45))/3)
"),46412)</f>
        <v>46412</v>
      </c>
      <c r="F45" s="81"/>
      <c r="G45" s="82"/>
      <c r="H45" s="77">
        <f ca="1">IFERROR(__xludf.DUMMYFUNCTION("DATE(VALUE(LEFT($B$2,4)),VALUE(MID($B$2,6,2)),VALUE(RIGHT($B$2,2)))
+ (VALUE(REGEXEXTRACT(INDIRECT(""A""&amp;ROW()+1),""\d+""))-1)*7
+ INT((COLUMN()-COLUMN($B45))/3)
"),46413)</f>
        <v>46413</v>
      </c>
      <c r="I45" s="81"/>
      <c r="J45" s="82"/>
      <c r="K45" s="77">
        <f ca="1">IFERROR(__xludf.DUMMYFUNCTION("DATE(VALUE(LEFT($B$2,4)),VALUE(MID($B$2,6,2)),VALUE(RIGHT($B$2,2)))
+ (VALUE(REGEXEXTRACT(INDIRECT(""A""&amp;ROW()+1),""\d+""))-1)*7
+ INT((COLUMN()-COLUMN($B45))/3)
"),46414)</f>
        <v>46414</v>
      </c>
      <c r="L45" s="81"/>
      <c r="M45" s="82"/>
      <c r="N45" s="77">
        <f ca="1">IFERROR(__xludf.DUMMYFUNCTION("DATE(VALUE(LEFT($B$2,4)),VALUE(MID($B$2,6,2)),VALUE(RIGHT($B$2,2)))
+ (VALUE(REGEXEXTRACT(INDIRECT(""A""&amp;ROW()+1),""\d+""))-1)*7
+ INT((COLUMN()-COLUMN($B45))/3)
"),46415)</f>
        <v>46415</v>
      </c>
      <c r="O45" s="81"/>
      <c r="P45" s="82"/>
      <c r="Q45" s="77">
        <f ca="1">IFERROR(__xludf.DUMMYFUNCTION("DATE(VALUE(LEFT($B$2,4)),VALUE(MID($B$2,6,2)),VALUE(RIGHT($B$2,2)))
+ (VALUE(REGEXEXTRACT(INDIRECT(""A""&amp;ROW()+1),""\d+""))-1)*7
+ INT((COLUMN()-COLUMN($B45))/3)
"),46416)</f>
        <v>46416</v>
      </c>
      <c r="R45" s="81"/>
      <c r="S45" s="82"/>
      <c r="T45" s="77">
        <f ca="1">IFERROR(__xludf.DUMMYFUNCTION("DATE(VALUE(LEFT($B$2,4)),VALUE(MID($B$2,6,2)),VALUE(RIGHT($B$2,2)))
+ (VALUE(REGEXEXTRACT(INDIRECT(""A""&amp;ROW()+1),""\d+""))-1)*7
+ INT((COLUMN()-COLUMN($B45))/3)
"),46417)</f>
        <v>46417</v>
      </c>
      <c r="U45" s="81"/>
      <c r="V45" s="82"/>
      <c r="W45" s="41" t="s">
        <v>20</v>
      </c>
    </row>
    <row r="46" spans="1:23" ht="15" customHeight="1">
      <c r="A46" s="47" t="s">
        <v>140</v>
      </c>
      <c r="B46" s="35" t="s">
        <v>74</v>
      </c>
      <c r="C46" s="35">
        <v>-75</v>
      </c>
      <c r="D46" s="42">
        <f>V44+C46</f>
        <v>-1368</v>
      </c>
      <c r="E46" s="112"/>
      <c r="F46" s="168"/>
      <c r="G46" s="18">
        <f>D56+F46</f>
        <v>-1458</v>
      </c>
      <c r="H46" s="113"/>
      <c r="I46" s="132"/>
      <c r="J46" s="42">
        <f>G56+I46</f>
        <v>-1458</v>
      </c>
      <c r="K46" s="112"/>
      <c r="L46" s="111"/>
      <c r="M46" s="48">
        <f>J56+L46</f>
        <v>-1458</v>
      </c>
      <c r="N46" s="149"/>
      <c r="O46" s="109"/>
      <c r="P46" s="35">
        <f>M56+O46</f>
        <v>-1458</v>
      </c>
      <c r="Q46" s="112"/>
      <c r="R46" s="111"/>
      <c r="S46" s="18">
        <f>P56+R46</f>
        <v>-1458</v>
      </c>
      <c r="T46" s="113"/>
      <c r="U46" s="109"/>
      <c r="V46" s="50">
        <f>S56+U46</f>
        <v>-1458</v>
      </c>
      <c r="W46" s="169"/>
    </row>
    <row r="47" spans="1:23" ht="15" customHeight="1">
      <c r="A47" s="114"/>
      <c r="B47" s="38" t="s">
        <v>76</v>
      </c>
      <c r="C47" s="38">
        <v>-25</v>
      </c>
      <c r="D47" s="19">
        <f t="shared" ref="D47:D56" si="28">D46+C47</f>
        <v>-1393</v>
      </c>
      <c r="E47" s="106"/>
      <c r="F47" s="170"/>
      <c r="G47" s="26">
        <f t="shared" ref="G47:G56" si="29">G46+F47</f>
        <v>-1458</v>
      </c>
      <c r="H47" s="118"/>
      <c r="I47" s="133"/>
      <c r="J47" s="19">
        <f t="shared" ref="J47:J56" si="30">J46+I47</f>
        <v>-1458</v>
      </c>
      <c r="K47" s="106"/>
      <c r="L47" s="107"/>
      <c r="M47" s="26">
        <f t="shared" ref="M47:M56" si="31">M46+L47</f>
        <v>-1458</v>
      </c>
      <c r="N47" s="117"/>
      <c r="O47" s="117"/>
      <c r="P47" s="38">
        <f t="shared" ref="P47:P56" si="32">P46+O47</f>
        <v>-1458</v>
      </c>
      <c r="Q47" s="106"/>
      <c r="R47" s="107"/>
      <c r="S47" s="26">
        <f t="shared" ref="S47:S56" si="33">S46+R47</f>
        <v>-1458</v>
      </c>
      <c r="T47" s="136"/>
      <c r="U47" s="136"/>
      <c r="V47" s="45">
        <f t="shared" ref="V47:V56" si="34">V46+U47</f>
        <v>-1458</v>
      </c>
      <c r="W47" s="143"/>
    </row>
    <row r="48" spans="1:23" ht="15" customHeight="1">
      <c r="A48" s="114"/>
      <c r="B48" s="38" t="s">
        <v>90</v>
      </c>
      <c r="C48" s="38">
        <v>-65</v>
      </c>
      <c r="D48" s="19">
        <f t="shared" si="28"/>
        <v>-1458</v>
      </c>
      <c r="E48" s="106"/>
      <c r="F48" s="170"/>
      <c r="G48" s="26">
        <f t="shared" si="29"/>
        <v>-1458</v>
      </c>
      <c r="H48" s="118"/>
      <c r="I48" s="133"/>
      <c r="J48" s="19">
        <f t="shared" si="30"/>
        <v>-1458</v>
      </c>
      <c r="K48" s="106"/>
      <c r="L48" s="107"/>
      <c r="M48" s="26">
        <f t="shared" si="31"/>
        <v>-1458</v>
      </c>
      <c r="N48" s="117"/>
      <c r="O48" s="117"/>
      <c r="P48" s="38">
        <f t="shared" si="32"/>
        <v>-1458</v>
      </c>
      <c r="Q48" s="106"/>
      <c r="R48" s="107"/>
      <c r="S48" s="26">
        <f t="shared" si="33"/>
        <v>-1458</v>
      </c>
      <c r="T48" s="136"/>
      <c r="U48" s="136"/>
      <c r="V48" s="45">
        <f t="shared" si="34"/>
        <v>-1458</v>
      </c>
      <c r="W48" s="143"/>
    </row>
    <row r="49" spans="1:23" ht="15" customHeight="1">
      <c r="A49" s="114"/>
      <c r="B49" s="117"/>
      <c r="C49" s="117"/>
      <c r="D49" s="19">
        <f t="shared" si="28"/>
        <v>-1458</v>
      </c>
      <c r="E49" s="106"/>
      <c r="F49" s="170"/>
      <c r="G49" s="26">
        <f t="shared" si="29"/>
        <v>-1458</v>
      </c>
      <c r="H49" s="118"/>
      <c r="I49" s="133"/>
      <c r="J49" s="19">
        <f t="shared" si="30"/>
        <v>-1458</v>
      </c>
      <c r="K49" s="106"/>
      <c r="L49" s="107"/>
      <c r="M49" s="26">
        <f t="shared" si="31"/>
        <v>-1458</v>
      </c>
      <c r="N49" s="117"/>
      <c r="O49" s="117"/>
      <c r="P49" s="19">
        <f t="shared" si="32"/>
        <v>-1458</v>
      </c>
      <c r="Q49" s="106"/>
      <c r="R49" s="107"/>
      <c r="S49" s="26">
        <f t="shared" si="33"/>
        <v>-1458</v>
      </c>
      <c r="T49" s="136"/>
      <c r="U49" s="136"/>
      <c r="V49" s="45">
        <f t="shared" si="34"/>
        <v>-1458</v>
      </c>
      <c r="W49" s="143"/>
    </row>
    <row r="50" spans="1:23" ht="15" customHeight="1">
      <c r="A50" s="114"/>
      <c r="B50" s="117"/>
      <c r="C50" s="117"/>
      <c r="D50" s="19">
        <f t="shared" si="28"/>
        <v>-1458</v>
      </c>
      <c r="E50" s="106"/>
      <c r="F50" s="170"/>
      <c r="G50" s="26">
        <f t="shared" si="29"/>
        <v>-1458</v>
      </c>
      <c r="H50" s="118"/>
      <c r="I50" s="133"/>
      <c r="J50" s="19">
        <f t="shared" si="30"/>
        <v>-1458</v>
      </c>
      <c r="K50" s="106"/>
      <c r="L50" s="107"/>
      <c r="M50" s="26">
        <f t="shared" si="31"/>
        <v>-1458</v>
      </c>
      <c r="N50" s="117"/>
      <c r="O50" s="117"/>
      <c r="P50" s="19">
        <f t="shared" si="32"/>
        <v>-1458</v>
      </c>
      <c r="Q50" s="106"/>
      <c r="R50" s="107"/>
      <c r="S50" s="26">
        <f t="shared" si="33"/>
        <v>-1458</v>
      </c>
      <c r="T50" s="136"/>
      <c r="U50" s="136"/>
      <c r="V50" s="45">
        <f t="shared" si="34"/>
        <v>-1458</v>
      </c>
      <c r="W50" s="143"/>
    </row>
    <row r="51" spans="1:23" ht="15" customHeight="1">
      <c r="A51" s="114"/>
      <c r="B51" s="118"/>
      <c r="C51" s="117"/>
      <c r="D51" s="19">
        <f t="shared" si="28"/>
        <v>-1458</v>
      </c>
      <c r="E51" s="106"/>
      <c r="F51" s="170"/>
      <c r="G51" s="26">
        <f t="shared" si="29"/>
        <v>-1458</v>
      </c>
      <c r="H51" s="118"/>
      <c r="I51" s="133"/>
      <c r="J51" s="19">
        <f t="shared" si="30"/>
        <v>-1458</v>
      </c>
      <c r="K51" s="106"/>
      <c r="L51" s="107"/>
      <c r="M51" s="26">
        <f t="shared" si="31"/>
        <v>-1458</v>
      </c>
      <c r="N51" s="117"/>
      <c r="O51" s="117"/>
      <c r="P51" s="19">
        <f t="shared" si="32"/>
        <v>-1458</v>
      </c>
      <c r="Q51" s="106"/>
      <c r="R51" s="107"/>
      <c r="S51" s="26">
        <f t="shared" si="33"/>
        <v>-1458</v>
      </c>
      <c r="T51" s="136"/>
      <c r="U51" s="136"/>
      <c r="V51" s="45">
        <f t="shared" si="34"/>
        <v>-1458</v>
      </c>
      <c r="W51" s="143"/>
    </row>
    <row r="52" spans="1:23" ht="15" customHeight="1">
      <c r="A52" s="114"/>
      <c r="B52" s="117"/>
      <c r="C52" s="117"/>
      <c r="D52" s="19">
        <f t="shared" si="28"/>
        <v>-1458</v>
      </c>
      <c r="E52" s="106"/>
      <c r="F52" s="170"/>
      <c r="G52" s="26">
        <f t="shared" si="29"/>
        <v>-1458</v>
      </c>
      <c r="H52" s="118"/>
      <c r="I52" s="133"/>
      <c r="J52" s="19">
        <f t="shared" si="30"/>
        <v>-1458</v>
      </c>
      <c r="K52" s="106"/>
      <c r="L52" s="107"/>
      <c r="M52" s="26">
        <f t="shared" si="31"/>
        <v>-1458</v>
      </c>
      <c r="N52" s="117"/>
      <c r="O52" s="117"/>
      <c r="P52" s="38">
        <f t="shared" si="32"/>
        <v>-1458</v>
      </c>
      <c r="Q52" s="106"/>
      <c r="R52" s="107"/>
      <c r="S52" s="26">
        <f t="shared" si="33"/>
        <v>-1458</v>
      </c>
      <c r="T52" s="136"/>
      <c r="U52" s="136"/>
      <c r="V52" s="45">
        <f t="shared" si="34"/>
        <v>-1458</v>
      </c>
      <c r="W52" s="143"/>
    </row>
    <row r="53" spans="1:23" ht="15" customHeight="1">
      <c r="A53" s="114"/>
      <c r="B53" s="117"/>
      <c r="C53" s="117"/>
      <c r="D53" s="19">
        <f t="shared" si="28"/>
        <v>-1458</v>
      </c>
      <c r="E53" s="106"/>
      <c r="F53" s="170"/>
      <c r="G53" s="26">
        <f t="shared" si="29"/>
        <v>-1458</v>
      </c>
      <c r="H53" s="117"/>
      <c r="I53" s="133"/>
      <c r="J53" s="19">
        <f t="shared" si="30"/>
        <v>-1458</v>
      </c>
      <c r="K53" s="106"/>
      <c r="L53" s="107"/>
      <c r="M53" s="26">
        <f t="shared" si="31"/>
        <v>-1458</v>
      </c>
      <c r="N53" s="117"/>
      <c r="O53" s="117"/>
      <c r="P53" s="38">
        <f t="shared" si="32"/>
        <v>-1458</v>
      </c>
      <c r="Q53" s="106"/>
      <c r="R53" s="107"/>
      <c r="S53" s="26">
        <f t="shared" si="33"/>
        <v>-1458</v>
      </c>
      <c r="T53" s="136"/>
      <c r="U53" s="136"/>
      <c r="V53" s="45">
        <f t="shared" si="34"/>
        <v>-1458</v>
      </c>
      <c r="W53" s="143"/>
    </row>
    <row r="54" spans="1:23" ht="15" customHeight="1">
      <c r="A54" s="114"/>
      <c r="B54" s="117"/>
      <c r="C54" s="117"/>
      <c r="D54" s="19">
        <f t="shared" si="28"/>
        <v>-1458</v>
      </c>
      <c r="E54" s="106"/>
      <c r="F54" s="170"/>
      <c r="G54" s="26">
        <f t="shared" si="29"/>
        <v>-1458</v>
      </c>
      <c r="H54" s="117"/>
      <c r="I54" s="133"/>
      <c r="J54" s="19">
        <f t="shared" si="30"/>
        <v>-1458</v>
      </c>
      <c r="K54" s="106"/>
      <c r="L54" s="107"/>
      <c r="M54" s="26">
        <f t="shared" si="31"/>
        <v>-1458</v>
      </c>
      <c r="N54" s="117"/>
      <c r="O54" s="117"/>
      <c r="P54" s="38">
        <f t="shared" si="32"/>
        <v>-1458</v>
      </c>
      <c r="Q54" s="106"/>
      <c r="R54" s="107"/>
      <c r="S54" s="26">
        <f t="shared" si="33"/>
        <v>-1458</v>
      </c>
      <c r="T54" s="118"/>
      <c r="U54" s="117"/>
      <c r="V54" s="45">
        <f t="shared" si="34"/>
        <v>-1458</v>
      </c>
      <c r="W54" s="143"/>
    </row>
    <row r="55" spans="1:23" ht="15" customHeight="1">
      <c r="A55" s="114"/>
      <c r="B55" s="117"/>
      <c r="C55" s="117"/>
      <c r="D55" s="19">
        <f t="shared" si="28"/>
        <v>-1458</v>
      </c>
      <c r="E55" s="122"/>
      <c r="F55" s="171"/>
      <c r="G55" s="26">
        <f t="shared" si="29"/>
        <v>-1458</v>
      </c>
      <c r="H55" s="117"/>
      <c r="I55" s="133"/>
      <c r="J55" s="19">
        <f t="shared" si="30"/>
        <v>-1458</v>
      </c>
      <c r="K55" s="122"/>
      <c r="L55" s="123"/>
      <c r="M55" s="26">
        <f t="shared" si="31"/>
        <v>-1458</v>
      </c>
      <c r="N55" s="117"/>
      <c r="O55" s="117"/>
      <c r="P55" s="38">
        <f t="shared" si="32"/>
        <v>-1458</v>
      </c>
      <c r="Q55" s="122"/>
      <c r="R55" s="123"/>
      <c r="S55" s="26">
        <f t="shared" si="33"/>
        <v>-1458</v>
      </c>
      <c r="T55" s="136"/>
      <c r="U55" s="136"/>
      <c r="V55" s="45">
        <f t="shared" si="34"/>
        <v>-1458</v>
      </c>
      <c r="W55" s="143"/>
    </row>
    <row r="56" spans="1:23" ht="15" customHeight="1">
      <c r="A56" s="114"/>
      <c r="B56" s="128"/>
      <c r="C56" s="128"/>
      <c r="D56" s="29">
        <f t="shared" si="28"/>
        <v>-1458</v>
      </c>
      <c r="E56" s="122"/>
      <c r="F56" s="171"/>
      <c r="G56" s="39">
        <f t="shared" si="29"/>
        <v>-1458</v>
      </c>
      <c r="H56" s="128"/>
      <c r="I56" s="140"/>
      <c r="J56" s="29">
        <f t="shared" si="30"/>
        <v>-1458</v>
      </c>
      <c r="K56" s="122"/>
      <c r="L56" s="123"/>
      <c r="M56" s="39">
        <f t="shared" si="31"/>
        <v>-1458</v>
      </c>
      <c r="N56" s="128"/>
      <c r="O56" s="128"/>
      <c r="P56" s="40">
        <f t="shared" si="32"/>
        <v>-1458</v>
      </c>
      <c r="Q56" s="122"/>
      <c r="R56" s="123"/>
      <c r="S56" s="39">
        <f t="shared" si="33"/>
        <v>-1458</v>
      </c>
      <c r="T56" s="141"/>
      <c r="U56" s="141"/>
      <c r="V56" s="46">
        <f t="shared" si="34"/>
        <v>-1458</v>
      </c>
      <c r="W56" s="143"/>
    </row>
    <row r="57" spans="1:23" ht="17.25" customHeight="1">
      <c r="A57" s="87"/>
      <c r="B57" s="77">
        <f ca="1">IFERROR(__xludf.DUMMYFUNCTION("DATE(VALUE(LEFT($B$2,4)),VALUE(MID($B$2,6,2)),VALUE(RIGHT($B$2,2)))
+ (VALUE(REGEXEXTRACT(INDIRECT(""A""&amp;ROW()+1),""\d+""))-1)*7
+ INT((COLUMN()-COLUMN($B57))/3)
"),46418)</f>
        <v>46418</v>
      </c>
      <c r="C57" s="81"/>
      <c r="D57" s="82"/>
      <c r="E57" s="77">
        <f ca="1">IFERROR(__xludf.DUMMYFUNCTION("DATE(VALUE(LEFT($B$2,4)),VALUE(MID($B$2,6,2)),VALUE(RIGHT($B$2,2)))
+ (VALUE(REGEXEXTRACT(INDIRECT(""A""&amp;ROW()+1),""\d+""))-1)*7
+ INT((COLUMN()-COLUMN($B57))/3)
"),46419)</f>
        <v>46419</v>
      </c>
      <c r="F57" s="81"/>
      <c r="G57" s="82"/>
      <c r="H57" s="77">
        <f ca="1">IFERROR(__xludf.DUMMYFUNCTION("DATE(VALUE(LEFT($B$2,4)),VALUE(MID($B$2,6,2)),VALUE(RIGHT($B$2,2)))
+ (VALUE(REGEXEXTRACT(INDIRECT(""A""&amp;ROW()+1),""\d+""))-1)*7
+ INT((COLUMN()-COLUMN($B57))/3)
"),46420)</f>
        <v>46420</v>
      </c>
      <c r="I57" s="81"/>
      <c r="J57" s="82"/>
      <c r="K57" s="77">
        <f ca="1">IFERROR(__xludf.DUMMYFUNCTION("DATE(VALUE(LEFT($B$2,4)),VALUE(MID($B$2,6,2)),VALUE(RIGHT($B$2,2)))
+ (VALUE(REGEXEXTRACT(INDIRECT(""A""&amp;ROW()+1),""\d+""))-1)*7
+ INT((COLUMN()-COLUMN($B57))/3)
"),46421)</f>
        <v>46421</v>
      </c>
      <c r="L57" s="81"/>
      <c r="M57" s="82"/>
      <c r="N57" s="77">
        <f ca="1">IFERROR(__xludf.DUMMYFUNCTION("DATE(VALUE(LEFT($B$2,4)),VALUE(MID($B$2,6,2)),VALUE(RIGHT($B$2,2)))
+ (VALUE(REGEXEXTRACT(INDIRECT(""A""&amp;ROW()+1),""\d+""))-1)*7
+ INT((COLUMN()-COLUMN($B57))/3)
"),46422)</f>
        <v>46422</v>
      </c>
      <c r="O57" s="81"/>
      <c r="P57" s="82"/>
      <c r="Q57" s="77">
        <f ca="1">IFERROR(__xludf.DUMMYFUNCTION("DATE(VALUE(LEFT($B$2,4)),VALUE(MID($B$2,6,2)),VALUE(RIGHT($B$2,2)))
+ (VALUE(REGEXEXTRACT(INDIRECT(""A""&amp;ROW()+1),""\d+""))-1)*7
+ INT((COLUMN()-COLUMN($B57))/3)
"),46423)</f>
        <v>46423</v>
      </c>
      <c r="R57" s="81"/>
      <c r="S57" s="82"/>
      <c r="T57" s="77">
        <f ca="1">IFERROR(__xludf.DUMMYFUNCTION("DATE(VALUE(LEFT($B$2,4)),VALUE(MID($B$2,6,2)),VALUE(RIGHT($B$2,2)))
+ (VALUE(REGEXEXTRACT(INDIRECT(""A""&amp;ROW()+1),""\d+""))-1)*7
+ INT((COLUMN()-COLUMN($B57))/3)
"),46424)</f>
        <v>46424</v>
      </c>
      <c r="U57" s="81"/>
      <c r="V57" s="82"/>
      <c r="W57" s="143"/>
    </row>
    <row r="58" spans="1:23" ht="15" customHeight="1">
      <c r="A58" s="51" t="s">
        <v>141</v>
      </c>
      <c r="B58" s="112"/>
      <c r="C58" s="111"/>
      <c r="D58" s="17">
        <f>V56+C58</f>
        <v>-1458</v>
      </c>
      <c r="E58" s="109"/>
      <c r="F58" s="109"/>
      <c r="G58" s="42">
        <f>D66+F58</f>
        <v>-1458</v>
      </c>
      <c r="H58" s="112"/>
      <c r="I58" s="111"/>
      <c r="J58" s="17">
        <f>G66+I58</f>
        <v>-1458</v>
      </c>
      <c r="K58" s="109"/>
      <c r="L58" s="109"/>
      <c r="M58" s="35">
        <f>J66+L58</f>
        <v>-1458</v>
      </c>
      <c r="N58" s="112"/>
      <c r="O58" s="111"/>
      <c r="P58" s="17">
        <f>M66+O58</f>
        <v>-1458</v>
      </c>
      <c r="Q58" s="109"/>
      <c r="R58" s="109"/>
      <c r="S58" s="35">
        <f>P66+R58</f>
        <v>-1458</v>
      </c>
      <c r="T58" s="112"/>
      <c r="U58" s="111"/>
      <c r="V58" s="48">
        <f>S66+U58</f>
        <v>-1458</v>
      </c>
      <c r="W58" s="143"/>
    </row>
    <row r="59" spans="1:23" ht="15" customHeight="1">
      <c r="A59" s="114"/>
      <c r="B59" s="106"/>
      <c r="C59" s="107"/>
      <c r="D59" s="26">
        <f t="shared" ref="D59:D66" si="35">D58+C59</f>
        <v>-1458</v>
      </c>
      <c r="E59" s="117"/>
      <c r="F59" s="117"/>
      <c r="G59" s="19">
        <f t="shared" ref="G59:G66" si="36">G58+F59</f>
        <v>-1458</v>
      </c>
      <c r="H59" s="106"/>
      <c r="I59" s="107"/>
      <c r="J59" s="26">
        <f t="shared" ref="J59:J66" si="37">J58+I59</f>
        <v>-1458</v>
      </c>
      <c r="K59" s="117"/>
      <c r="L59" s="117"/>
      <c r="M59" s="38">
        <f t="shared" ref="M59:M66" si="38">M58+L59</f>
        <v>-1458</v>
      </c>
      <c r="N59" s="106"/>
      <c r="O59" s="107"/>
      <c r="P59" s="26">
        <f t="shared" ref="P59:P66" si="39">P58+O59</f>
        <v>-1458</v>
      </c>
      <c r="Q59" s="117"/>
      <c r="R59" s="117"/>
      <c r="S59" s="38">
        <f t="shared" ref="S59:S66" si="40">S58+R59</f>
        <v>-1458</v>
      </c>
      <c r="T59" s="106"/>
      <c r="U59" s="107"/>
      <c r="V59" s="20">
        <f t="shared" ref="V59:V66" si="41">V58+U59</f>
        <v>-1458</v>
      </c>
      <c r="W59" s="143"/>
    </row>
    <row r="60" spans="1:23" ht="15" customHeight="1">
      <c r="A60" s="114"/>
      <c r="B60" s="106"/>
      <c r="C60" s="107"/>
      <c r="D60" s="26">
        <f t="shared" si="35"/>
        <v>-1458</v>
      </c>
      <c r="E60" s="117"/>
      <c r="F60" s="117"/>
      <c r="G60" s="19">
        <f t="shared" si="36"/>
        <v>-1458</v>
      </c>
      <c r="H60" s="106"/>
      <c r="I60" s="107"/>
      <c r="J60" s="26">
        <f t="shared" si="37"/>
        <v>-1458</v>
      </c>
      <c r="K60" s="117"/>
      <c r="L60" s="117"/>
      <c r="M60" s="38">
        <f t="shared" si="38"/>
        <v>-1458</v>
      </c>
      <c r="N60" s="106"/>
      <c r="O60" s="107"/>
      <c r="P60" s="26">
        <f t="shared" si="39"/>
        <v>-1458</v>
      </c>
      <c r="Q60" s="117"/>
      <c r="R60" s="117"/>
      <c r="S60" s="38">
        <f t="shared" si="40"/>
        <v>-1458</v>
      </c>
      <c r="T60" s="106"/>
      <c r="U60" s="116"/>
      <c r="V60" s="20">
        <f t="shared" si="41"/>
        <v>-1458</v>
      </c>
      <c r="W60" s="143"/>
    </row>
    <row r="61" spans="1:23" ht="15" customHeight="1">
      <c r="A61" s="114"/>
      <c r="B61" s="106"/>
      <c r="C61" s="107"/>
      <c r="D61" s="26">
        <f t="shared" si="35"/>
        <v>-1458</v>
      </c>
      <c r="E61" s="117"/>
      <c r="F61" s="117"/>
      <c r="G61" s="19">
        <f t="shared" si="36"/>
        <v>-1458</v>
      </c>
      <c r="H61" s="106"/>
      <c r="I61" s="107"/>
      <c r="J61" s="26">
        <f t="shared" si="37"/>
        <v>-1458</v>
      </c>
      <c r="K61" s="117"/>
      <c r="L61" s="117"/>
      <c r="M61" s="38">
        <f t="shared" si="38"/>
        <v>-1458</v>
      </c>
      <c r="N61" s="106"/>
      <c r="O61" s="107"/>
      <c r="P61" s="26">
        <f t="shared" si="39"/>
        <v>-1458</v>
      </c>
      <c r="Q61" s="117"/>
      <c r="R61" s="117"/>
      <c r="S61" s="38">
        <f t="shared" si="40"/>
        <v>-1458</v>
      </c>
      <c r="T61" s="106"/>
      <c r="U61" s="116"/>
      <c r="V61" s="20">
        <f t="shared" si="41"/>
        <v>-1458</v>
      </c>
      <c r="W61" s="143"/>
    </row>
    <row r="62" spans="1:23" ht="15" customHeight="1">
      <c r="A62" s="114"/>
      <c r="B62" s="106"/>
      <c r="C62" s="107"/>
      <c r="D62" s="26">
        <f t="shared" si="35"/>
        <v>-1458</v>
      </c>
      <c r="E62" s="117"/>
      <c r="F62" s="117"/>
      <c r="G62" s="19">
        <f t="shared" si="36"/>
        <v>-1458</v>
      </c>
      <c r="H62" s="106"/>
      <c r="I62" s="107"/>
      <c r="J62" s="26">
        <f t="shared" si="37"/>
        <v>-1458</v>
      </c>
      <c r="K62" s="117"/>
      <c r="L62" s="117"/>
      <c r="M62" s="38">
        <f t="shared" si="38"/>
        <v>-1458</v>
      </c>
      <c r="N62" s="106"/>
      <c r="O62" s="107"/>
      <c r="P62" s="26">
        <f t="shared" si="39"/>
        <v>-1458</v>
      </c>
      <c r="Q62" s="117"/>
      <c r="R62" s="117"/>
      <c r="S62" s="38">
        <f t="shared" si="40"/>
        <v>-1458</v>
      </c>
      <c r="T62" s="106"/>
      <c r="U62" s="116"/>
      <c r="V62" s="20">
        <f t="shared" si="41"/>
        <v>-1458</v>
      </c>
      <c r="W62" s="143"/>
    </row>
    <row r="63" spans="1:23" ht="15" customHeight="1">
      <c r="A63" s="114"/>
      <c r="B63" s="106"/>
      <c r="C63" s="107"/>
      <c r="D63" s="26">
        <f t="shared" si="35"/>
        <v>-1458</v>
      </c>
      <c r="E63" s="117"/>
      <c r="F63" s="117"/>
      <c r="G63" s="19">
        <f t="shared" si="36"/>
        <v>-1458</v>
      </c>
      <c r="H63" s="106"/>
      <c r="I63" s="107"/>
      <c r="J63" s="26">
        <f t="shared" si="37"/>
        <v>-1458</v>
      </c>
      <c r="K63" s="117"/>
      <c r="L63" s="117"/>
      <c r="M63" s="38">
        <f t="shared" si="38"/>
        <v>-1458</v>
      </c>
      <c r="N63" s="106"/>
      <c r="O63" s="107"/>
      <c r="P63" s="26">
        <f t="shared" si="39"/>
        <v>-1458</v>
      </c>
      <c r="Q63" s="117"/>
      <c r="R63" s="117"/>
      <c r="S63" s="38">
        <f t="shared" si="40"/>
        <v>-1458</v>
      </c>
      <c r="T63" s="106"/>
      <c r="U63" s="116"/>
      <c r="V63" s="20">
        <f t="shared" si="41"/>
        <v>-1458</v>
      </c>
      <c r="W63" s="143"/>
    </row>
    <row r="64" spans="1:23" ht="15" customHeight="1">
      <c r="A64" s="114"/>
      <c r="B64" s="106"/>
      <c r="C64" s="107"/>
      <c r="D64" s="26">
        <f t="shared" si="35"/>
        <v>-1458</v>
      </c>
      <c r="E64" s="117"/>
      <c r="F64" s="117"/>
      <c r="G64" s="19">
        <f t="shared" si="36"/>
        <v>-1458</v>
      </c>
      <c r="H64" s="106"/>
      <c r="I64" s="107"/>
      <c r="J64" s="26">
        <f t="shared" si="37"/>
        <v>-1458</v>
      </c>
      <c r="K64" s="117"/>
      <c r="L64" s="117"/>
      <c r="M64" s="38">
        <f t="shared" si="38"/>
        <v>-1458</v>
      </c>
      <c r="N64" s="106"/>
      <c r="O64" s="107"/>
      <c r="P64" s="26">
        <f t="shared" si="39"/>
        <v>-1458</v>
      </c>
      <c r="Q64" s="117"/>
      <c r="R64" s="117"/>
      <c r="S64" s="38">
        <f t="shared" si="40"/>
        <v>-1458</v>
      </c>
      <c r="T64" s="106"/>
      <c r="U64" s="116"/>
      <c r="V64" s="20">
        <f t="shared" si="41"/>
        <v>-1458</v>
      </c>
      <c r="W64" s="143"/>
    </row>
    <row r="65" spans="1:23" ht="15" customHeight="1">
      <c r="A65" s="114"/>
      <c r="B65" s="106"/>
      <c r="C65" s="107"/>
      <c r="D65" s="26">
        <f t="shared" si="35"/>
        <v>-1458</v>
      </c>
      <c r="E65" s="117"/>
      <c r="F65" s="117"/>
      <c r="G65" s="19">
        <f t="shared" si="36"/>
        <v>-1458</v>
      </c>
      <c r="H65" s="106"/>
      <c r="I65" s="107"/>
      <c r="J65" s="26">
        <f t="shared" si="37"/>
        <v>-1458</v>
      </c>
      <c r="K65" s="117"/>
      <c r="L65" s="117"/>
      <c r="M65" s="38">
        <f t="shared" si="38"/>
        <v>-1458</v>
      </c>
      <c r="N65" s="106"/>
      <c r="O65" s="107"/>
      <c r="P65" s="26">
        <f t="shared" si="39"/>
        <v>-1458</v>
      </c>
      <c r="Q65" s="117"/>
      <c r="R65" s="117"/>
      <c r="S65" s="38">
        <f t="shared" si="40"/>
        <v>-1458</v>
      </c>
      <c r="T65" s="106"/>
      <c r="U65" s="116"/>
      <c r="V65" s="20">
        <f t="shared" si="41"/>
        <v>-1458</v>
      </c>
      <c r="W65" s="143"/>
    </row>
    <row r="66" spans="1:23" ht="15" customHeight="1">
      <c r="A66" s="114"/>
      <c r="B66" s="166"/>
      <c r="C66" s="167"/>
      <c r="D66" s="39">
        <f t="shared" si="35"/>
        <v>-1458</v>
      </c>
      <c r="E66" s="128"/>
      <c r="F66" s="128"/>
      <c r="G66" s="29">
        <f t="shared" si="36"/>
        <v>-1458</v>
      </c>
      <c r="H66" s="122"/>
      <c r="I66" s="123"/>
      <c r="J66" s="39">
        <f t="shared" si="37"/>
        <v>-1458</v>
      </c>
      <c r="K66" s="128"/>
      <c r="L66" s="128"/>
      <c r="M66" s="40">
        <f t="shared" si="38"/>
        <v>-1458</v>
      </c>
      <c r="N66" s="122"/>
      <c r="O66" s="123"/>
      <c r="P66" s="39">
        <f t="shared" si="39"/>
        <v>-1458</v>
      </c>
      <c r="Q66" s="128"/>
      <c r="R66" s="128"/>
      <c r="S66" s="40">
        <f t="shared" si="40"/>
        <v>-1458</v>
      </c>
      <c r="T66" s="122"/>
      <c r="U66" s="124"/>
      <c r="V66" s="49">
        <f t="shared" si="41"/>
        <v>-1458</v>
      </c>
      <c r="W66" s="143"/>
    </row>
    <row r="67" spans="1:23" ht="17.25" customHeight="1">
      <c r="A67" s="87"/>
      <c r="B67" s="77">
        <f ca="1">IFERROR(__xludf.DUMMYFUNCTION("DATE(VALUE(LEFT($B$2,4)),VALUE(MID($B$2,6,2)),VALUE(RIGHT($B$2,2)))
+ (VALUE(REGEXEXTRACT(INDIRECT(""A""&amp;ROW()+1),""\d+""))-1)*7
+ INT((COLUMN()-COLUMN($B67))/3)
"),46425)</f>
        <v>46425</v>
      </c>
      <c r="C67" s="81"/>
      <c r="D67" s="82"/>
      <c r="E67" s="77">
        <f ca="1">IFERROR(__xludf.DUMMYFUNCTION("DATE(VALUE(LEFT($B$2,4)),VALUE(MID($B$2,6,2)),VALUE(RIGHT($B$2,2)))
+ (VALUE(REGEXEXTRACT(INDIRECT(""A""&amp;ROW()+1),""\d+""))-1)*7
+ INT((COLUMN()-COLUMN($B67))/3)
"),46426)</f>
        <v>46426</v>
      </c>
      <c r="F67" s="81"/>
      <c r="G67" s="82"/>
      <c r="H67" s="77">
        <f ca="1">IFERROR(__xludf.DUMMYFUNCTION("DATE(VALUE(LEFT($B$2,4)),VALUE(MID($B$2,6,2)),VALUE(RIGHT($B$2,2)))
+ (VALUE(REGEXEXTRACT(INDIRECT(""A""&amp;ROW()+1),""\d+""))-1)*7
+ INT((COLUMN()-COLUMN($B67))/3)
"),46427)</f>
        <v>46427</v>
      </c>
      <c r="I67" s="81"/>
      <c r="J67" s="82"/>
      <c r="K67" s="77">
        <f ca="1">IFERROR(__xludf.DUMMYFUNCTION("DATE(VALUE(LEFT($B$2,4)),VALUE(MID($B$2,6,2)),VALUE(RIGHT($B$2,2)))
+ (VALUE(REGEXEXTRACT(INDIRECT(""A""&amp;ROW()+1),""\d+""))-1)*7
+ INT((COLUMN()-COLUMN($B67))/3)
"),46428)</f>
        <v>46428</v>
      </c>
      <c r="L67" s="81"/>
      <c r="M67" s="82"/>
      <c r="N67" s="77">
        <f ca="1">IFERROR(__xludf.DUMMYFUNCTION("DATE(VALUE(LEFT($B$2,4)),VALUE(MID($B$2,6,2)),VALUE(RIGHT($B$2,2)))
+ (VALUE(REGEXEXTRACT(INDIRECT(""A""&amp;ROW()+1),""\d+""))-1)*7
+ INT((COLUMN()-COLUMN($B67))/3)
"),46429)</f>
        <v>46429</v>
      </c>
      <c r="O67" s="81"/>
      <c r="P67" s="82"/>
      <c r="Q67" s="77">
        <f ca="1">IFERROR(__xludf.DUMMYFUNCTION("DATE(VALUE(LEFT($B$2,4)),VALUE(MID($B$2,6,2)),VALUE(RIGHT($B$2,2)))
+ (VALUE(REGEXEXTRACT(INDIRECT(""A""&amp;ROW()+1),""\d+""))-1)*7
+ INT((COLUMN()-COLUMN($B67))/3)
"),46430)</f>
        <v>46430</v>
      </c>
      <c r="R67" s="81"/>
      <c r="S67" s="82"/>
      <c r="T67" s="77">
        <f ca="1">IFERROR(__xludf.DUMMYFUNCTION("DATE(VALUE(LEFT($B$2,4)),VALUE(MID($B$2,6,2)),VALUE(RIGHT($B$2,2)))
+ (VALUE(REGEXEXTRACT(INDIRECT(""A""&amp;ROW()+1),""\d+""))-1)*7
+ INT((COLUMN()-COLUMN($B67))/3)
"),46431)</f>
        <v>46431</v>
      </c>
      <c r="U67" s="81"/>
      <c r="V67" s="82"/>
      <c r="W67" s="52" t="s">
        <v>20</v>
      </c>
    </row>
    <row r="68" spans="1:23" ht="17.25" customHeight="1">
      <c r="A68" s="47" t="s">
        <v>142</v>
      </c>
      <c r="B68" s="113"/>
      <c r="C68" s="109"/>
      <c r="D68" s="42">
        <f>V66+C68</f>
        <v>-1458</v>
      </c>
      <c r="E68" s="112"/>
      <c r="F68" s="111"/>
      <c r="G68" s="36">
        <f>D78+F68</f>
        <v>-1458</v>
      </c>
      <c r="H68" s="132"/>
      <c r="I68" s="109"/>
      <c r="J68" s="42">
        <f>G78+I68</f>
        <v>-1458</v>
      </c>
      <c r="K68" s="112"/>
      <c r="L68" s="111"/>
      <c r="M68" s="18">
        <f>J78+L68</f>
        <v>-1458</v>
      </c>
      <c r="N68" s="113"/>
      <c r="O68" s="109"/>
      <c r="P68" s="35">
        <f>M78+O68</f>
        <v>-1458</v>
      </c>
      <c r="Q68" s="112"/>
      <c r="R68" s="111"/>
      <c r="S68" s="18">
        <f>P78+R68</f>
        <v>-1458</v>
      </c>
      <c r="T68" s="113"/>
      <c r="U68" s="109"/>
      <c r="V68" s="50">
        <f>S78+U68</f>
        <v>-1458</v>
      </c>
      <c r="W68" s="172"/>
    </row>
    <row r="69" spans="1:23" ht="15" customHeight="1">
      <c r="A69" s="114"/>
      <c r="B69" s="118"/>
      <c r="C69" s="117"/>
      <c r="D69" s="19">
        <f t="shared" ref="D69:D78" si="42">D68+C69</f>
        <v>-1458</v>
      </c>
      <c r="E69" s="106"/>
      <c r="F69" s="107"/>
      <c r="G69" s="26">
        <f t="shared" ref="G69:G78" si="43">G68+F69</f>
        <v>-1458</v>
      </c>
      <c r="H69" s="133"/>
      <c r="I69" s="117"/>
      <c r="J69" s="19">
        <f t="shared" ref="J69:J78" si="44">J68+I69</f>
        <v>-1458</v>
      </c>
      <c r="K69" s="106"/>
      <c r="L69" s="107"/>
      <c r="M69" s="26">
        <f t="shared" ref="M69:M78" si="45">M68+L69</f>
        <v>-1458</v>
      </c>
      <c r="N69" s="118"/>
      <c r="O69" s="117"/>
      <c r="P69" s="38">
        <f t="shared" ref="P69:P78" si="46">P68+O69</f>
        <v>-1458</v>
      </c>
      <c r="Q69" s="106"/>
      <c r="R69" s="107"/>
      <c r="S69" s="26">
        <f t="shared" ref="S69:S78" si="47">S68+R69</f>
        <v>-1458</v>
      </c>
      <c r="T69" s="117"/>
      <c r="U69" s="117"/>
      <c r="V69" s="45">
        <f t="shared" ref="V69:V78" si="48">V68+U69</f>
        <v>-1458</v>
      </c>
      <c r="W69" s="143"/>
    </row>
    <row r="70" spans="1:23" ht="15" customHeight="1">
      <c r="A70" s="114"/>
      <c r="B70" s="118"/>
      <c r="C70" s="117"/>
      <c r="D70" s="19">
        <f t="shared" si="42"/>
        <v>-1458</v>
      </c>
      <c r="E70" s="106"/>
      <c r="F70" s="107"/>
      <c r="G70" s="26">
        <f t="shared" si="43"/>
        <v>-1458</v>
      </c>
      <c r="H70" s="133"/>
      <c r="I70" s="117"/>
      <c r="J70" s="19">
        <f t="shared" si="44"/>
        <v>-1458</v>
      </c>
      <c r="K70" s="106"/>
      <c r="L70" s="107"/>
      <c r="M70" s="26">
        <f t="shared" si="45"/>
        <v>-1458</v>
      </c>
      <c r="N70" s="117"/>
      <c r="O70" s="117"/>
      <c r="P70" s="38">
        <f t="shared" si="46"/>
        <v>-1458</v>
      </c>
      <c r="Q70" s="106"/>
      <c r="R70" s="107"/>
      <c r="S70" s="26">
        <f t="shared" si="47"/>
        <v>-1458</v>
      </c>
      <c r="T70" s="117"/>
      <c r="U70" s="117"/>
      <c r="V70" s="45">
        <f t="shared" si="48"/>
        <v>-1458</v>
      </c>
      <c r="W70" s="143"/>
    </row>
    <row r="71" spans="1:23" ht="15" customHeight="1">
      <c r="A71" s="114"/>
      <c r="B71" s="118"/>
      <c r="C71" s="117"/>
      <c r="D71" s="19">
        <f t="shared" si="42"/>
        <v>-1458</v>
      </c>
      <c r="E71" s="106"/>
      <c r="F71" s="107"/>
      <c r="G71" s="26">
        <f t="shared" si="43"/>
        <v>-1458</v>
      </c>
      <c r="H71" s="117"/>
      <c r="I71" s="117"/>
      <c r="J71" s="19">
        <f t="shared" si="44"/>
        <v>-1458</v>
      </c>
      <c r="K71" s="106"/>
      <c r="L71" s="107"/>
      <c r="M71" s="26">
        <f t="shared" si="45"/>
        <v>-1458</v>
      </c>
      <c r="N71" s="117"/>
      <c r="O71" s="117"/>
      <c r="P71" s="38">
        <f t="shared" si="46"/>
        <v>-1458</v>
      </c>
      <c r="Q71" s="106"/>
      <c r="R71" s="107"/>
      <c r="S71" s="26">
        <f t="shared" si="47"/>
        <v>-1458</v>
      </c>
      <c r="T71" s="117"/>
      <c r="U71" s="117"/>
      <c r="V71" s="45">
        <f t="shared" si="48"/>
        <v>-1458</v>
      </c>
      <c r="W71" s="143"/>
    </row>
    <row r="72" spans="1:23" ht="15" customHeight="1">
      <c r="A72" s="114"/>
      <c r="B72" s="118"/>
      <c r="C72" s="117"/>
      <c r="D72" s="19">
        <f t="shared" si="42"/>
        <v>-1458</v>
      </c>
      <c r="E72" s="106"/>
      <c r="F72" s="107"/>
      <c r="G72" s="26">
        <f t="shared" si="43"/>
        <v>-1458</v>
      </c>
      <c r="H72" s="117"/>
      <c r="I72" s="117"/>
      <c r="J72" s="19">
        <f t="shared" si="44"/>
        <v>-1458</v>
      </c>
      <c r="K72" s="106"/>
      <c r="L72" s="107"/>
      <c r="M72" s="26">
        <f t="shared" si="45"/>
        <v>-1458</v>
      </c>
      <c r="N72" s="117"/>
      <c r="O72" s="117"/>
      <c r="P72" s="38">
        <f t="shared" si="46"/>
        <v>-1458</v>
      </c>
      <c r="Q72" s="106"/>
      <c r="R72" s="107"/>
      <c r="S72" s="26">
        <f t="shared" si="47"/>
        <v>-1458</v>
      </c>
      <c r="T72" s="136"/>
      <c r="U72" s="136"/>
      <c r="V72" s="45">
        <f t="shared" si="48"/>
        <v>-1458</v>
      </c>
      <c r="W72" s="143"/>
    </row>
    <row r="73" spans="1:23" ht="15" customHeight="1">
      <c r="A73" s="114"/>
      <c r="B73" s="118"/>
      <c r="C73" s="117"/>
      <c r="D73" s="19">
        <f t="shared" si="42"/>
        <v>-1458</v>
      </c>
      <c r="E73" s="106"/>
      <c r="F73" s="107"/>
      <c r="G73" s="26">
        <f t="shared" si="43"/>
        <v>-1458</v>
      </c>
      <c r="H73" s="117"/>
      <c r="I73" s="117"/>
      <c r="J73" s="19">
        <f t="shared" si="44"/>
        <v>-1458</v>
      </c>
      <c r="K73" s="106"/>
      <c r="L73" s="107"/>
      <c r="M73" s="26">
        <f t="shared" si="45"/>
        <v>-1458</v>
      </c>
      <c r="N73" s="117"/>
      <c r="O73" s="117"/>
      <c r="P73" s="38">
        <f t="shared" si="46"/>
        <v>-1458</v>
      </c>
      <c r="Q73" s="106"/>
      <c r="R73" s="107"/>
      <c r="S73" s="26">
        <f t="shared" si="47"/>
        <v>-1458</v>
      </c>
      <c r="T73" s="136"/>
      <c r="U73" s="136"/>
      <c r="V73" s="45">
        <f t="shared" si="48"/>
        <v>-1458</v>
      </c>
      <c r="W73" s="143"/>
    </row>
    <row r="74" spans="1:23" ht="15" customHeight="1">
      <c r="A74" s="114"/>
      <c r="B74" s="117"/>
      <c r="C74" s="117"/>
      <c r="D74" s="19">
        <f t="shared" si="42"/>
        <v>-1458</v>
      </c>
      <c r="E74" s="106"/>
      <c r="F74" s="107"/>
      <c r="G74" s="26">
        <f t="shared" si="43"/>
        <v>-1458</v>
      </c>
      <c r="H74" s="117"/>
      <c r="I74" s="117"/>
      <c r="J74" s="19">
        <f t="shared" si="44"/>
        <v>-1458</v>
      </c>
      <c r="K74" s="106"/>
      <c r="L74" s="107"/>
      <c r="M74" s="26">
        <f t="shared" si="45"/>
        <v>-1458</v>
      </c>
      <c r="N74" s="117"/>
      <c r="O74" s="117"/>
      <c r="P74" s="38">
        <f t="shared" si="46"/>
        <v>-1458</v>
      </c>
      <c r="Q74" s="106"/>
      <c r="R74" s="107"/>
      <c r="S74" s="26">
        <f t="shared" si="47"/>
        <v>-1458</v>
      </c>
      <c r="T74" s="133"/>
      <c r="U74" s="117"/>
      <c r="V74" s="45">
        <f t="shared" si="48"/>
        <v>-1458</v>
      </c>
      <c r="W74" s="143"/>
    </row>
    <row r="75" spans="1:23" ht="15" customHeight="1">
      <c r="A75" s="114"/>
      <c r="B75" s="117"/>
      <c r="C75" s="117"/>
      <c r="D75" s="19">
        <f t="shared" si="42"/>
        <v>-1458</v>
      </c>
      <c r="E75" s="106"/>
      <c r="F75" s="107"/>
      <c r="G75" s="26">
        <f t="shared" si="43"/>
        <v>-1458</v>
      </c>
      <c r="H75" s="117"/>
      <c r="I75" s="117"/>
      <c r="J75" s="19">
        <f t="shared" si="44"/>
        <v>-1458</v>
      </c>
      <c r="K75" s="106"/>
      <c r="L75" s="107"/>
      <c r="M75" s="26">
        <f t="shared" si="45"/>
        <v>-1458</v>
      </c>
      <c r="N75" s="117"/>
      <c r="O75" s="117"/>
      <c r="P75" s="38">
        <f t="shared" si="46"/>
        <v>-1458</v>
      </c>
      <c r="Q75" s="106"/>
      <c r="R75" s="107"/>
      <c r="S75" s="26">
        <f t="shared" si="47"/>
        <v>-1458</v>
      </c>
      <c r="T75" s="133"/>
      <c r="U75" s="117"/>
      <c r="V75" s="45">
        <f t="shared" si="48"/>
        <v>-1458</v>
      </c>
      <c r="W75" s="143"/>
    </row>
    <row r="76" spans="1:23" ht="15" customHeight="1">
      <c r="A76" s="114"/>
      <c r="B76" s="117"/>
      <c r="C76" s="117"/>
      <c r="D76" s="19">
        <f t="shared" si="42"/>
        <v>-1458</v>
      </c>
      <c r="E76" s="106"/>
      <c r="F76" s="107"/>
      <c r="G76" s="26">
        <f t="shared" si="43"/>
        <v>-1458</v>
      </c>
      <c r="H76" s="117"/>
      <c r="I76" s="117"/>
      <c r="J76" s="19">
        <f t="shared" si="44"/>
        <v>-1458</v>
      </c>
      <c r="K76" s="106"/>
      <c r="L76" s="107"/>
      <c r="M76" s="26">
        <f t="shared" si="45"/>
        <v>-1458</v>
      </c>
      <c r="N76" s="117"/>
      <c r="O76" s="117"/>
      <c r="P76" s="38">
        <f t="shared" si="46"/>
        <v>-1458</v>
      </c>
      <c r="Q76" s="106"/>
      <c r="R76" s="107"/>
      <c r="S76" s="26">
        <f t="shared" si="47"/>
        <v>-1458</v>
      </c>
      <c r="T76" s="117"/>
      <c r="U76" s="117"/>
      <c r="V76" s="45">
        <f t="shared" si="48"/>
        <v>-1458</v>
      </c>
      <c r="W76" s="143"/>
    </row>
    <row r="77" spans="1:23" ht="15" customHeight="1">
      <c r="A77" s="114"/>
      <c r="B77" s="117"/>
      <c r="C77" s="117"/>
      <c r="D77" s="19">
        <f t="shared" si="42"/>
        <v>-1458</v>
      </c>
      <c r="E77" s="122"/>
      <c r="F77" s="123"/>
      <c r="G77" s="26">
        <f t="shared" si="43"/>
        <v>-1458</v>
      </c>
      <c r="H77" s="133"/>
      <c r="I77" s="117"/>
      <c r="J77" s="19">
        <f t="shared" si="44"/>
        <v>-1458</v>
      </c>
      <c r="K77" s="122"/>
      <c r="L77" s="123"/>
      <c r="M77" s="26">
        <f t="shared" si="45"/>
        <v>-1458</v>
      </c>
      <c r="N77" s="117"/>
      <c r="O77" s="117"/>
      <c r="P77" s="38">
        <f t="shared" si="46"/>
        <v>-1458</v>
      </c>
      <c r="Q77" s="122"/>
      <c r="R77" s="123"/>
      <c r="S77" s="26">
        <f t="shared" si="47"/>
        <v>-1458</v>
      </c>
      <c r="T77" s="136"/>
      <c r="U77" s="136"/>
      <c r="V77" s="45">
        <f t="shared" si="48"/>
        <v>-1458</v>
      </c>
      <c r="W77" s="143"/>
    </row>
    <row r="78" spans="1:23" ht="15" customHeight="1">
      <c r="A78" s="114"/>
      <c r="B78" s="128"/>
      <c r="C78" s="128"/>
      <c r="D78" s="29">
        <f t="shared" si="42"/>
        <v>-1458</v>
      </c>
      <c r="E78" s="122"/>
      <c r="F78" s="123"/>
      <c r="G78" s="53">
        <f t="shared" si="43"/>
        <v>-1458</v>
      </c>
      <c r="H78" s="140"/>
      <c r="I78" s="128"/>
      <c r="J78" s="29">
        <f t="shared" si="44"/>
        <v>-1458</v>
      </c>
      <c r="K78" s="122"/>
      <c r="L78" s="123"/>
      <c r="M78" s="39">
        <f t="shared" si="45"/>
        <v>-1458</v>
      </c>
      <c r="N78" s="128"/>
      <c r="O78" s="128"/>
      <c r="P78" s="40">
        <f t="shared" si="46"/>
        <v>-1458</v>
      </c>
      <c r="Q78" s="122"/>
      <c r="R78" s="123"/>
      <c r="S78" s="39">
        <f t="shared" si="47"/>
        <v>-1458</v>
      </c>
      <c r="T78" s="141"/>
      <c r="U78" s="141"/>
      <c r="V78" s="46">
        <f t="shared" si="48"/>
        <v>-1458</v>
      </c>
      <c r="W78" s="143"/>
    </row>
    <row r="79" spans="1:23" ht="17.25" customHeight="1">
      <c r="A79" s="87"/>
      <c r="B79" s="77">
        <f ca="1">IFERROR(__xludf.DUMMYFUNCTION("DATE(VALUE(LEFT($B$2,4)),VALUE(MID($B$2,6,2)),VALUE(RIGHT($B$2,2)))
+ (VALUE(REGEXEXTRACT(INDIRECT(""A""&amp;ROW()+1),""\d+""))-1)*7
+ INT((COLUMN()-COLUMN($B79))/3)
"),46432)</f>
        <v>46432</v>
      </c>
      <c r="C79" s="81"/>
      <c r="D79" s="82"/>
      <c r="E79" s="77">
        <f ca="1">IFERROR(__xludf.DUMMYFUNCTION("DATE(VALUE(LEFT($B$2,4)),VALUE(MID($B$2,6,2)),VALUE(RIGHT($B$2,2)))
+ (VALUE(REGEXEXTRACT(INDIRECT(""A""&amp;ROW()+1),""\d+""))-1)*7
+ INT((COLUMN()-COLUMN($B79))/3)
"),46433)</f>
        <v>46433</v>
      </c>
      <c r="F79" s="81"/>
      <c r="G79" s="82"/>
      <c r="H79" s="77">
        <f ca="1">IFERROR(__xludf.DUMMYFUNCTION("DATE(VALUE(LEFT($B$2,4)),VALUE(MID($B$2,6,2)),VALUE(RIGHT($B$2,2)))
+ (VALUE(REGEXEXTRACT(INDIRECT(""A""&amp;ROW()+1),""\d+""))-1)*7
+ INT((COLUMN()-COLUMN($B79))/3)
"),46434)</f>
        <v>46434</v>
      </c>
      <c r="I79" s="81"/>
      <c r="J79" s="82"/>
      <c r="K79" s="77">
        <f ca="1">IFERROR(__xludf.DUMMYFUNCTION("DATE(VALUE(LEFT($B$2,4)),VALUE(MID($B$2,6,2)),VALUE(RIGHT($B$2,2)))
+ (VALUE(REGEXEXTRACT(INDIRECT(""A""&amp;ROW()+1),""\d+""))-1)*7
+ INT((COLUMN()-COLUMN($B79))/3)
"),46435)</f>
        <v>46435</v>
      </c>
      <c r="L79" s="81"/>
      <c r="M79" s="82"/>
      <c r="N79" s="77">
        <f ca="1">IFERROR(__xludf.DUMMYFUNCTION("DATE(VALUE(LEFT($B$2,4)),VALUE(MID($B$2,6,2)),VALUE(RIGHT($B$2,2)))
+ (VALUE(REGEXEXTRACT(INDIRECT(""A""&amp;ROW()+1),""\d+""))-1)*7
+ INT((COLUMN()-COLUMN($B79))/3)
"),46436)</f>
        <v>46436</v>
      </c>
      <c r="O79" s="81"/>
      <c r="P79" s="82"/>
      <c r="Q79" s="77">
        <f ca="1">IFERROR(__xludf.DUMMYFUNCTION("DATE(VALUE(LEFT($B$2,4)),VALUE(MID($B$2,6,2)),VALUE(RIGHT($B$2,2)))
+ (VALUE(REGEXEXTRACT(INDIRECT(""A""&amp;ROW()+1),""\d+""))-1)*7
+ INT((COLUMN()-COLUMN($B79))/3)
"),46437)</f>
        <v>46437</v>
      </c>
      <c r="R79" s="81"/>
      <c r="S79" s="82"/>
      <c r="T79" s="77">
        <f ca="1">IFERROR(__xludf.DUMMYFUNCTION("DATE(VALUE(LEFT($B$2,4)),VALUE(MID($B$2,6,2)),VALUE(RIGHT($B$2,2)))
+ (VALUE(REGEXEXTRACT(INDIRECT(""A""&amp;ROW()+1),""\d+""))-1)*7
+ INT((COLUMN()-COLUMN($B79))/3)
"),46438)</f>
        <v>46438</v>
      </c>
      <c r="U79" s="81"/>
      <c r="V79" s="82"/>
      <c r="W79" s="143"/>
    </row>
    <row r="80" spans="1:23" ht="15" customHeight="1">
      <c r="A80" s="51" t="s">
        <v>143</v>
      </c>
      <c r="B80" s="112"/>
      <c r="C80" s="111"/>
      <c r="D80" s="17">
        <f>V78+C80</f>
        <v>-1458</v>
      </c>
      <c r="E80" s="109"/>
      <c r="F80" s="109"/>
      <c r="G80" s="42">
        <f>D90+F80</f>
        <v>-1458</v>
      </c>
      <c r="H80" s="112"/>
      <c r="I80" s="111"/>
      <c r="J80" s="17">
        <f>G90+I80</f>
        <v>-1458</v>
      </c>
      <c r="K80" s="173"/>
      <c r="L80" s="109"/>
      <c r="M80" s="35">
        <f>J90+L80</f>
        <v>-1458</v>
      </c>
      <c r="N80" s="112"/>
      <c r="O80" s="111"/>
      <c r="P80" s="17">
        <f>M90+O80</f>
        <v>-1458</v>
      </c>
      <c r="Q80" s="109"/>
      <c r="R80" s="109"/>
      <c r="S80" s="35">
        <f>P90+R80</f>
        <v>-1458</v>
      </c>
      <c r="T80" s="112"/>
      <c r="U80" s="111"/>
      <c r="V80" s="48">
        <f>S90+U80</f>
        <v>-1458</v>
      </c>
      <c r="W80" s="143"/>
    </row>
    <row r="81" spans="1:26" ht="15" customHeight="1">
      <c r="A81" s="114"/>
      <c r="B81" s="106"/>
      <c r="C81" s="107"/>
      <c r="D81" s="26">
        <f t="shared" ref="D81:D90" si="49">D80+C81</f>
        <v>-1458</v>
      </c>
      <c r="E81" s="117"/>
      <c r="F81" s="117"/>
      <c r="G81" s="19">
        <f t="shared" ref="G81:G90" si="50">G80+F81</f>
        <v>-1458</v>
      </c>
      <c r="H81" s="106"/>
      <c r="I81" s="107"/>
      <c r="J81" s="26">
        <f t="shared" ref="J81:J90" si="51">J80+I81</f>
        <v>-1458</v>
      </c>
      <c r="K81" s="136"/>
      <c r="L81" s="136"/>
      <c r="M81" s="38">
        <f t="shared" ref="M81:M90" si="52">M80+L81</f>
        <v>-1458</v>
      </c>
      <c r="N81" s="106"/>
      <c r="O81" s="107"/>
      <c r="P81" s="26">
        <f t="shared" ref="P81:P90" si="53">P80+O81</f>
        <v>-1458</v>
      </c>
      <c r="Q81" s="117"/>
      <c r="R81" s="117"/>
      <c r="S81" s="38">
        <f t="shared" ref="S81:S90" si="54">S80+R81</f>
        <v>-1458</v>
      </c>
      <c r="T81" s="106"/>
      <c r="U81" s="107"/>
      <c r="V81" s="20">
        <f t="shared" ref="V81:V90" si="55">V80+U81</f>
        <v>-1458</v>
      </c>
      <c r="W81" s="143"/>
    </row>
    <row r="82" spans="1:26" ht="15" customHeight="1">
      <c r="A82" s="114"/>
      <c r="B82" s="106"/>
      <c r="C82" s="107"/>
      <c r="D82" s="26">
        <f t="shared" si="49"/>
        <v>-1458</v>
      </c>
      <c r="E82" s="117"/>
      <c r="F82" s="117"/>
      <c r="G82" s="19">
        <f t="shared" si="50"/>
        <v>-1458</v>
      </c>
      <c r="H82" s="106"/>
      <c r="I82" s="107"/>
      <c r="J82" s="26">
        <f t="shared" si="51"/>
        <v>-1458</v>
      </c>
      <c r="K82" s="136"/>
      <c r="L82" s="136"/>
      <c r="M82" s="38">
        <f t="shared" si="52"/>
        <v>-1458</v>
      </c>
      <c r="N82" s="106"/>
      <c r="O82" s="107"/>
      <c r="P82" s="26">
        <f t="shared" si="53"/>
        <v>-1458</v>
      </c>
      <c r="Q82" s="117"/>
      <c r="R82" s="117"/>
      <c r="S82" s="38">
        <f t="shared" si="54"/>
        <v>-1458</v>
      </c>
      <c r="T82" s="106"/>
      <c r="U82" s="107"/>
      <c r="V82" s="20">
        <f t="shared" si="55"/>
        <v>-1458</v>
      </c>
      <c r="W82" s="143"/>
    </row>
    <row r="83" spans="1:26" ht="15" customHeight="1">
      <c r="A83" s="114"/>
      <c r="B83" s="106"/>
      <c r="C83" s="107"/>
      <c r="D83" s="26">
        <f t="shared" si="49"/>
        <v>-1458</v>
      </c>
      <c r="E83" s="117"/>
      <c r="F83" s="117"/>
      <c r="G83" s="19">
        <f t="shared" si="50"/>
        <v>-1458</v>
      </c>
      <c r="H83" s="106"/>
      <c r="I83" s="107"/>
      <c r="J83" s="26">
        <f t="shared" si="51"/>
        <v>-1458</v>
      </c>
      <c r="K83" s="136"/>
      <c r="L83" s="136"/>
      <c r="M83" s="38">
        <f t="shared" si="52"/>
        <v>-1458</v>
      </c>
      <c r="N83" s="106"/>
      <c r="O83" s="107"/>
      <c r="P83" s="26">
        <f t="shared" si="53"/>
        <v>-1458</v>
      </c>
      <c r="Q83" s="117"/>
      <c r="R83" s="117"/>
      <c r="S83" s="38">
        <f t="shared" si="54"/>
        <v>-1458</v>
      </c>
      <c r="T83" s="106"/>
      <c r="U83" s="107"/>
      <c r="V83" s="20">
        <f t="shared" si="55"/>
        <v>-1458</v>
      </c>
      <c r="W83" s="143"/>
    </row>
    <row r="84" spans="1:26" ht="15" customHeight="1">
      <c r="A84" s="114"/>
      <c r="B84" s="106"/>
      <c r="C84" s="107"/>
      <c r="D84" s="26">
        <f t="shared" si="49"/>
        <v>-1458</v>
      </c>
      <c r="E84" s="117"/>
      <c r="F84" s="117"/>
      <c r="G84" s="19">
        <f t="shared" si="50"/>
        <v>-1458</v>
      </c>
      <c r="H84" s="106"/>
      <c r="I84" s="107"/>
      <c r="J84" s="26">
        <f t="shared" si="51"/>
        <v>-1458</v>
      </c>
      <c r="K84" s="136"/>
      <c r="L84" s="136"/>
      <c r="M84" s="38">
        <f t="shared" si="52"/>
        <v>-1458</v>
      </c>
      <c r="N84" s="106"/>
      <c r="O84" s="107"/>
      <c r="P84" s="26">
        <f t="shared" si="53"/>
        <v>-1458</v>
      </c>
      <c r="Q84" s="117"/>
      <c r="R84" s="117"/>
      <c r="S84" s="38">
        <f t="shared" si="54"/>
        <v>-1458</v>
      </c>
      <c r="T84" s="106"/>
      <c r="U84" s="107"/>
      <c r="V84" s="20">
        <f t="shared" si="55"/>
        <v>-1458</v>
      </c>
      <c r="W84" s="143"/>
    </row>
    <row r="85" spans="1:26" ht="15" customHeight="1">
      <c r="A85" s="114"/>
      <c r="B85" s="106"/>
      <c r="C85" s="107"/>
      <c r="D85" s="26">
        <f t="shared" si="49"/>
        <v>-1458</v>
      </c>
      <c r="E85" s="117"/>
      <c r="F85" s="117"/>
      <c r="G85" s="19">
        <f t="shared" si="50"/>
        <v>-1458</v>
      </c>
      <c r="H85" s="106"/>
      <c r="I85" s="107"/>
      <c r="J85" s="26">
        <f t="shared" si="51"/>
        <v>-1458</v>
      </c>
      <c r="K85" s="136"/>
      <c r="L85" s="136"/>
      <c r="M85" s="38">
        <f t="shared" si="52"/>
        <v>-1458</v>
      </c>
      <c r="N85" s="106"/>
      <c r="O85" s="107"/>
      <c r="P85" s="26">
        <f t="shared" si="53"/>
        <v>-1458</v>
      </c>
      <c r="Q85" s="117"/>
      <c r="R85" s="117"/>
      <c r="S85" s="38">
        <f t="shared" si="54"/>
        <v>-1458</v>
      </c>
      <c r="T85" s="106"/>
      <c r="U85" s="116"/>
      <c r="V85" s="20">
        <f t="shared" si="55"/>
        <v>-1458</v>
      </c>
      <c r="W85" s="143"/>
    </row>
    <row r="86" spans="1:26" ht="15" customHeight="1">
      <c r="A86" s="114"/>
      <c r="B86" s="106"/>
      <c r="C86" s="107"/>
      <c r="D86" s="26">
        <f t="shared" si="49"/>
        <v>-1458</v>
      </c>
      <c r="E86" s="117"/>
      <c r="F86" s="117"/>
      <c r="G86" s="19">
        <f t="shared" si="50"/>
        <v>-1458</v>
      </c>
      <c r="H86" s="106"/>
      <c r="I86" s="107"/>
      <c r="J86" s="26">
        <f t="shared" si="51"/>
        <v>-1458</v>
      </c>
      <c r="K86" s="136"/>
      <c r="L86" s="136"/>
      <c r="M86" s="38">
        <f t="shared" si="52"/>
        <v>-1458</v>
      </c>
      <c r="N86" s="106"/>
      <c r="O86" s="107"/>
      <c r="P86" s="26">
        <f t="shared" si="53"/>
        <v>-1458</v>
      </c>
      <c r="Q86" s="117"/>
      <c r="R86" s="117"/>
      <c r="S86" s="38">
        <f t="shared" si="54"/>
        <v>-1458</v>
      </c>
      <c r="T86" s="106"/>
      <c r="U86" s="116"/>
      <c r="V86" s="20">
        <f t="shared" si="55"/>
        <v>-1458</v>
      </c>
      <c r="W86" s="143"/>
    </row>
    <row r="87" spans="1:26" ht="15" customHeight="1">
      <c r="A87" s="114"/>
      <c r="B87" s="106"/>
      <c r="C87" s="107"/>
      <c r="D87" s="26">
        <f t="shared" si="49"/>
        <v>-1458</v>
      </c>
      <c r="E87" s="117"/>
      <c r="F87" s="117"/>
      <c r="G87" s="19">
        <f t="shared" si="50"/>
        <v>-1458</v>
      </c>
      <c r="H87" s="106"/>
      <c r="I87" s="107"/>
      <c r="J87" s="26">
        <f t="shared" si="51"/>
        <v>-1458</v>
      </c>
      <c r="K87" s="133"/>
      <c r="L87" s="117"/>
      <c r="M87" s="38">
        <f t="shared" si="52"/>
        <v>-1458</v>
      </c>
      <c r="N87" s="106"/>
      <c r="O87" s="107"/>
      <c r="P87" s="26">
        <f t="shared" si="53"/>
        <v>-1458</v>
      </c>
      <c r="Q87" s="117"/>
      <c r="R87" s="117"/>
      <c r="S87" s="38">
        <f t="shared" si="54"/>
        <v>-1458</v>
      </c>
      <c r="T87" s="106"/>
      <c r="U87" s="116"/>
      <c r="V87" s="20">
        <f t="shared" si="55"/>
        <v>-1458</v>
      </c>
      <c r="W87" s="143"/>
    </row>
    <row r="88" spans="1:26" ht="15" customHeight="1">
      <c r="A88" s="114"/>
      <c r="B88" s="106"/>
      <c r="C88" s="107"/>
      <c r="D88" s="26">
        <f t="shared" si="49"/>
        <v>-1458</v>
      </c>
      <c r="E88" s="117"/>
      <c r="F88" s="117"/>
      <c r="G88" s="19">
        <f t="shared" si="50"/>
        <v>-1458</v>
      </c>
      <c r="H88" s="122"/>
      <c r="I88" s="123"/>
      <c r="J88" s="26">
        <f t="shared" si="51"/>
        <v>-1458</v>
      </c>
      <c r="K88" s="117"/>
      <c r="L88" s="117"/>
      <c r="M88" s="38">
        <f t="shared" si="52"/>
        <v>-1458</v>
      </c>
      <c r="N88" s="122"/>
      <c r="O88" s="123"/>
      <c r="P88" s="26">
        <f t="shared" si="53"/>
        <v>-1458</v>
      </c>
      <c r="Q88" s="117"/>
      <c r="R88" s="117"/>
      <c r="S88" s="38">
        <f t="shared" si="54"/>
        <v>-1458</v>
      </c>
      <c r="T88" s="106"/>
      <c r="U88" s="116"/>
      <c r="V88" s="20">
        <f t="shared" si="55"/>
        <v>-1458</v>
      </c>
      <c r="W88" s="143"/>
    </row>
    <row r="89" spans="1:26" ht="15" customHeight="1">
      <c r="A89" s="114"/>
      <c r="B89" s="106"/>
      <c r="C89" s="107"/>
      <c r="D89" s="26">
        <f t="shared" si="49"/>
        <v>-1458</v>
      </c>
      <c r="E89" s="117"/>
      <c r="F89" s="117"/>
      <c r="G89" s="19">
        <f t="shared" si="50"/>
        <v>-1458</v>
      </c>
      <c r="H89" s="122"/>
      <c r="I89" s="123"/>
      <c r="J89" s="26">
        <f t="shared" si="51"/>
        <v>-1458</v>
      </c>
      <c r="K89" s="117"/>
      <c r="L89" s="117"/>
      <c r="M89" s="38">
        <f t="shared" si="52"/>
        <v>-1458</v>
      </c>
      <c r="N89" s="122"/>
      <c r="O89" s="123"/>
      <c r="P89" s="26">
        <f t="shared" si="53"/>
        <v>-1458</v>
      </c>
      <c r="Q89" s="117"/>
      <c r="R89" s="117"/>
      <c r="S89" s="38">
        <f t="shared" si="54"/>
        <v>-1458</v>
      </c>
      <c r="T89" s="122"/>
      <c r="U89" s="124"/>
      <c r="V89" s="20">
        <f t="shared" si="55"/>
        <v>-1458</v>
      </c>
      <c r="W89" s="143"/>
    </row>
    <row r="90" spans="1:26" ht="15" customHeight="1">
      <c r="A90" s="114"/>
      <c r="B90" s="122"/>
      <c r="C90" s="123"/>
      <c r="D90" s="39">
        <f t="shared" si="49"/>
        <v>-1458</v>
      </c>
      <c r="E90" s="128"/>
      <c r="F90" s="128"/>
      <c r="G90" s="29">
        <f t="shared" si="50"/>
        <v>-1458</v>
      </c>
      <c r="H90" s="122"/>
      <c r="I90" s="123"/>
      <c r="J90" s="39">
        <f t="shared" si="51"/>
        <v>-1458</v>
      </c>
      <c r="K90" s="128"/>
      <c r="L90" s="128"/>
      <c r="M90" s="40">
        <f t="shared" si="52"/>
        <v>-1458</v>
      </c>
      <c r="N90" s="122"/>
      <c r="O90" s="123"/>
      <c r="P90" s="39">
        <f t="shared" si="53"/>
        <v>-1458</v>
      </c>
      <c r="Q90" s="128"/>
      <c r="R90" s="128"/>
      <c r="S90" s="40">
        <f t="shared" si="54"/>
        <v>-1458</v>
      </c>
      <c r="T90" s="122"/>
      <c r="U90" s="123"/>
      <c r="V90" s="39">
        <f t="shared" si="55"/>
        <v>-1458</v>
      </c>
      <c r="W90" s="143"/>
    </row>
    <row r="91" spans="1:26" ht="15.75" customHeight="1">
      <c r="A91" s="87"/>
      <c r="B91" s="77">
        <f ca="1">IFERROR(__xludf.DUMMYFUNCTION("DATE(VALUE(LEFT($B$2,4)),VALUE(MID($B$2,6,2)),VALUE(RIGHT($B$2,2)))
+ (VALUE(REGEXEXTRACT(INDIRECT(""A""&amp;ROW()+1),""\d+""))-1)*7
+ INT((COLUMN()-COLUMN($B91))/3)
"),46439)</f>
        <v>46439</v>
      </c>
      <c r="C91" s="81"/>
      <c r="D91" s="82"/>
      <c r="E91" s="77">
        <f ca="1">IFERROR(__xludf.DUMMYFUNCTION("DATE(VALUE(LEFT($B$2,4)),VALUE(MID($B$2,6,2)),VALUE(RIGHT($B$2,2)))
+ (VALUE(REGEXEXTRACT(INDIRECT(""A""&amp;ROW()+1),""\d+""))-1)*7
+ INT((COLUMN()-COLUMN($B91))/3)
"),46440)</f>
        <v>46440</v>
      </c>
      <c r="F91" s="81"/>
      <c r="G91" s="82"/>
      <c r="H91" s="77">
        <f ca="1">IFERROR(__xludf.DUMMYFUNCTION("DATE(VALUE(LEFT($B$2,4)),VALUE(MID($B$2,6,2)),VALUE(RIGHT($B$2,2)))
+ (VALUE(REGEXEXTRACT(INDIRECT(""A""&amp;ROW()+1),""\d+""))-1)*7
+ INT((COLUMN()-COLUMN($B91))/3)
"),46441)</f>
        <v>46441</v>
      </c>
      <c r="I91" s="81"/>
      <c r="J91" s="82"/>
      <c r="K91" s="77">
        <f ca="1">IFERROR(__xludf.DUMMYFUNCTION("DATE(VALUE(LEFT($B$2,4)),VALUE(MID($B$2,6,2)),VALUE(RIGHT($B$2,2)))
+ (VALUE(REGEXEXTRACT(INDIRECT(""A""&amp;ROW()+1),""\d+""))-1)*7
+ INT((COLUMN()-COLUMN($B91))/3)
"),46442)</f>
        <v>46442</v>
      </c>
      <c r="L91" s="81"/>
      <c r="M91" s="82"/>
      <c r="N91" s="77">
        <f ca="1">IFERROR(__xludf.DUMMYFUNCTION("DATE(VALUE(LEFT($B$2,4)),VALUE(MID($B$2,6,2)),VALUE(RIGHT($B$2,2)))
+ (VALUE(REGEXEXTRACT(INDIRECT(""A""&amp;ROW()+1),""\d+""))-1)*7
+ INT((COLUMN()-COLUMN($B91))/3)
"),46443)</f>
        <v>46443</v>
      </c>
      <c r="O91" s="81"/>
      <c r="P91" s="82"/>
      <c r="Q91" s="77">
        <f ca="1">IFERROR(__xludf.DUMMYFUNCTION("DATE(VALUE(LEFT($B$2,4)),VALUE(MID($B$2,6,2)),VALUE(RIGHT($B$2,2)))
+ (VALUE(REGEXEXTRACT(INDIRECT(""A""&amp;ROW()+1),""\d+""))-1)*7
+ INT((COLUMN()-COLUMN($B91))/3)
"),46444)</f>
        <v>46444</v>
      </c>
      <c r="R91" s="81"/>
      <c r="S91" s="82"/>
      <c r="T91" s="77">
        <f ca="1">IFERROR(__xludf.DUMMYFUNCTION("DATE(VALUE(LEFT($B$2,4)),VALUE(MID($B$2,6,2)),VALUE(RIGHT($B$2,2)))
+ (VALUE(REGEXEXTRACT(INDIRECT(""A""&amp;ROW()+1),""\d+""))-1)*7
+ INT((COLUMN()-COLUMN($B91))/3)
"),46445)</f>
        <v>46445</v>
      </c>
      <c r="U91" s="81"/>
      <c r="V91" s="82"/>
      <c r="W91" s="52" t="s">
        <v>20</v>
      </c>
      <c r="X91" s="4"/>
      <c r="Y91" s="4"/>
      <c r="Z91" s="4"/>
    </row>
    <row r="92" spans="1:26" ht="15.75" customHeight="1">
      <c r="A92" s="47" t="s">
        <v>144</v>
      </c>
      <c r="B92" s="109"/>
      <c r="C92" s="109"/>
      <c r="D92" s="42">
        <f>V90+C92</f>
        <v>-1458</v>
      </c>
      <c r="E92" s="112"/>
      <c r="F92" s="111"/>
      <c r="G92" s="36">
        <f>D102+F92</f>
        <v>-1458</v>
      </c>
      <c r="H92" s="109"/>
      <c r="I92" s="109"/>
      <c r="J92" s="42">
        <f>G102+I92</f>
        <v>-1458</v>
      </c>
      <c r="K92" s="112"/>
      <c r="L92" s="111"/>
      <c r="M92" s="18">
        <f>J102+L92</f>
        <v>-1458</v>
      </c>
      <c r="N92" s="113"/>
      <c r="O92" s="109"/>
      <c r="P92" s="35">
        <f>M102+O92</f>
        <v>-1458</v>
      </c>
      <c r="Q92" s="110"/>
      <c r="R92" s="111"/>
      <c r="S92" s="18">
        <f>P102+R92</f>
        <v>-1458</v>
      </c>
      <c r="T92" s="113"/>
      <c r="U92" s="109"/>
      <c r="V92" s="50">
        <f>S102+U92</f>
        <v>-1458</v>
      </c>
      <c r="W92" s="172"/>
      <c r="X92" s="4"/>
      <c r="Y92" s="4"/>
      <c r="Z92" s="4"/>
    </row>
    <row r="93" spans="1:26" ht="15.75" customHeight="1">
      <c r="A93" s="114"/>
      <c r="B93" s="117"/>
      <c r="C93" s="117"/>
      <c r="D93" s="19">
        <f t="shared" ref="D93:D102" si="56">D92+C93</f>
        <v>-1458</v>
      </c>
      <c r="E93" s="106"/>
      <c r="F93" s="107"/>
      <c r="G93" s="26">
        <f t="shared" ref="G93:G102" si="57">G92+F93</f>
        <v>-1458</v>
      </c>
      <c r="H93" s="117"/>
      <c r="I93" s="117"/>
      <c r="J93" s="19">
        <f t="shared" ref="J93:J102" si="58">J92+I93</f>
        <v>-1458</v>
      </c>
      <c r="K93" s="106"/>
      <c r="L93" s="107"/>
      <c r="M93" s="26">
        <f t="shared" ref="M93:M102" si="59">M92+L93</f>
        <v>-1458</v>
      </c>
      <c r="N93" s="118"/>
      <c r="O93" s="117"/>
      <c r="P93" s="19">
        <f t="shared" ref="P93:P102" si="60">P92+O93</f>
        <v>-1458</v>
      </c>
      <c r="Q93" s="116"/>
      <c r="R93" s="107"/>
      <c r="S93" s="26">
        <f t="shared" ref="S93:S102" si="61">S92+R93</f>
        <v>-1458</v>
      </c>
      <c r="T93" s="136"/>
      <c r="U93" s="136"/>
      <c r="V93" s="45">
        <f t="shared" ref="V93:V102" si="62">V92+U93</f>
        <v>-1458</v>
      </c>
      <c r="W93" s="143"/>
      <c r="X93" s="4"/>
      <c r="Y93" s="4"/>
      <c r="Z93" s="4"/>
    </row>
    <row r="94" spans="1:26" ht="15.75" customHeight="1">
      <c r="A94" s="114"/>
      <c r="B94" s="117"/>
      <c r="C94" s="117"/>
      <c r="D94" s="19">
        <f t="shared" si="56"/>
        <v>-1458</v>
      </c>
      <c r="E94" s="106"/>
      <c r="F94" s="107"/>
      <c r="G94" s="26">
        <f t="shared" si="57"/>
        <v>-1458</v>
      </c>
      <c r="H94" s="117"/>
      <c r="I94" s="117"/>
      <c r="J94" s="19">
        <f t="shared" si="58"/>
        <v>-1458</v>
      </c>
      <c r="K94" s="106"/>
      <c r="L94" s="107"/>
      <c r="M94" s="26">
        <f t="shared" si="59"/>
        <v>-1458</v>
      </c>
      <c r="N94" s="117"/>
      <c r="O94" s="117"/>
      <c r="P94" s="19">
        <f t="shared" si="60"/>
        <v>-1458</v>
      </c>
      <c r="Q94" s="116"/>
      <c r="R94" s="107"/>
      <c r="S94" s="26">
        <f t="shared" si="61"/>
        <v>-1458</v>
      </c>
      <c r="T94" s="136"/>
      <c r="U94" s="136"/>
      <c r="V94" s="45">
        <f t="shared" si="62"/>
        <v>-1458</v>
      </c>
      <c r="W94" s="143"/>
      <c r="X94" s="4"/>
      <c r="Y94" s="4"/>
      <c r="Z94" s="4"/>
    </row>
    <row r="95" spans="1:26" ht="15.75" customHeight="1">
      <c r="A95" s="114"/>
      <c r="B95" s="117"/>
      <c r="C95" s="117"/>
      <c r="D95" s="19">
        <f t="shared" si="56"/>
        <v>-1458</v>
      </c>
      <c r="E95" s="106"/>
      <c r="F95" s="107"/>
      <c r="G95" s="26">
        <f t="shared" si="57"/>
        <v>-1458</v>
      </c>
      <c r="H95" s="117"/>
      <c r="I95" s="117"/>
      <c r="J95" s="19">
        <f t="shared" si="58"/>
        <v>-1458</v>
      </c>
      <c r="K95" s="106"/>
      <c r="L95" s="107"/>
      <c r="M95" s="26">
        <f t="shared" si="59"/>
        <v>-1458</v>
      </c>
      <c r="N95" s="117"/>
      <c r="O95" s="117"/>
      <c r="P95" s="19">
        <f t="shared" si="60"/>
        <v>-1458</v>
      </c>
      <c r="Q95" s="116"/>
      <c r="R95" s="107"/>
      <c r="S95" s="26">
        <f t="shared" si="61"/>
        <v>-1458</v>
      </c>
      <c r="T95" s="136"/>
      <c r="U95" s="136"/>
      <c r="V95" s="45">
        <f t="shared" si="62"/>
        <v>-1458</v>
      </c>
      <c r="W95" s="143"/>
      <c r="X95" s="4"/>
      <c r="Y95" s="4"/>
      <c r="Z95" s="4"/>
    </row>
    <row r="96" spans="1:26" ht="15.75" customHeight="1">
      <c r="A96" s="114"/>
      <c r="B96" s="117"/>
      <c r="C96" s="117"/>
      <c r="D96" s="19">
        <f t="shared" si="56"/>
        <v>-1458</v>
      </c>
      <c r="E96" s="106"/>
      <c r="F96" s="107"/>
      <c r="G96" s="26">
        <f t="shared" si="57"/>
        <v>-1458</v>
      </c>
      <c r="H96" s="117"/>
      <c r="I96" s="117"/>
      <c r="J96" s="19">
        <f t="shared" si="58"/>
        <v>-1458</v>
      </c>
      <c r="K96" s="106"/>
      <c r="L96" s="107"/>
      <c r="M96" s="26">
        <f t="shared" si="59"/>
        <v>-1458</v>
      </c>
      <c r="N96" s="117"/>
      <c r="O96" s="117"/>
      <c r="P96" s="19">
        <f t="shared" si="60"/>
        <v>-1458</v>
      </c>
      <c r="Q96" s="116"/>
      <c r="R96" s="107"/>
      <c r="S96" s="26">
        <f t="shared" si="61"/>
        <v>-1458</v>
      </c>
      <c r="T96" s="136"/>
      <c r="U96" s="136"/>
      <c r="V96" s="45">
        <f t="shared" si="62"/>
        <v>-1458</v>
      </c>
      <c r="W96" s="143"/>
      <c r="X96" s="4"/>
      <c r="Y96" s="4"/>
      <c r="Z96" s="4"/>
    </row>
    <row r="97" spans="1:26" ht="15.75" customHeight="1">
      <c r="A97" s="114"/>
      <c r="B97" s="118"/>
      <c r="C97" s="117"/>
      <c r="D97" s="19">
        <f t="shared" si="56"/>
        <v>-1458</v>
      </c>
      <c r="E97" s="106"/>
      <c r="F97" s="107"/>
      <c r="G97" s="26">
        <f t="shared" si="57"/>
        <v>-1458</v>
      </c>
      <c r="H97" s="133"/>
      <c r="I97" s="117"/>
      <c r="J97" s="19">
        <f t="shared" si="58"/>
        <v>-1458</v>
      </c>
      <c r="K97" s="106"/>
      <c r="L97" s="107"/>
      <c r="M97" s="26">
        <f t="shared" si="59"/>
        <v>-1458</v>
      </c>
      <c r="N97" s="117"/>
      <c r="O97" s="117"/>
      <c r="P97" s="19">
        <f t="shared" si="60"/>
        <v>-1458</v>
      </c>
      <c r="Q97" s="106"/>
      <c r="R97" s="107"/>
      <c r="S97" s="26">
        <f t="shared" si="61"/>
        <v>-1458</v>
      </c>
      <c r="T97" s="136"/>
      <c r="U97" s="136"/>
      <c r="V97" s="45">
        <f t="shared" si="62"/>
        <v>-1458</v>
      </c>
      <c r="W97" s="143"/>
      <c r="X97" s="4"/>
      <c r="Y97" s="4"/>
      <c r="Z97" s="4"/>
    </row>
    <row r="98" spans="1:26" ht="15.75" customHeight="1">
      <c r="A98" s="114"/>
      <c r="B98" s="117"/>
      <c r="C98" s="117"/>
      <c r="D98" s="19">
        <f t="shared" si="56"/>
        <v>-1458</v>
      </c>
      <c r="E98" s="106"/>
      <c r="F98" s="107"/>
      <c r="G98" s="26">
        <f t="shared" si="57"/>
        <v>-1458</v>
      </c>
      <c r="H98" s="133"/>
      <c r="I98" s="117"/>
      <c r="J98" s="19">
        <f t="shared" si="58"/>
        <v>-1458</v>
      </c>
      <c r="K98" s="106"/>
      <c r="L98" s="107"/>
      <c r="M98" s="26">
        <f t="shared" si="59"/>
        <v>-1458</v>
      </c>
      <c r="N98" s="117"/>
      <c r="O98" s="117"/>
      <c r="P98" s="38">
        <f t="shared" si="60"/>
        <v>-1458</v>
      </c>
      <c r="Q98" s="106"/>
      <c r="R98" s="107"/>
      <c r="S98" s="26">
        <f t="shared" si="61"/>
        <v>-1458</v>
      </c>
      <c r="T98" s="136"/>
      <c r="U98" s="136"/>
      <c r="V98" s="45">
        <f t="shared" si="62"/>
        <v>-1458</v>
      </c>
      <c r="W98" s="143"/>
      <c r="X98" s="4"/>
      <c r="Y98" s="4"/>
      <c r="Z98" s="4"/>
    </row>
    <row r="99" spans="1:26" ht="15.75" customHeight="1">
      <c r="A99" s="114"/>
      <c r="B99" s="117"/>
      <c r="C99" s="117"/>
      <c r="D99" s="19">
        <f t="shared" si="56"/>
        <v>-1458</v>
      </c>
      <c r="E99" s="106"/>
      <c r="F99" s="107"/>
      <c r="G99" s="26">
        <f t="shared" si="57"/>
        <v>-1458</v>
      </c>
      <c r="H99" s="133"/>
      <c r="I99" s="117"/>
      <c r="J99" s="19">
        <f t="shared" si="58"/>
        <v>-1458</v>
      </c>
      <c r="K99" s="106"/>
      <c r="L99" s="107"/>
      <c r="M99" s="26">
        <f t="shared" si="59"/>
        <v>-1458</v>
      </c>
      <c r="N99" s="117"/>
      <c r="O99" s="117"/>
      <c r="P99" s="38">
        <f t="shared" si="60"/>
        <v>-1458</v>
      </c>
      <c r="Q99" s="106"/>
      <c r="R99" s="107"/>
      <c r="S99" s="26">
        <f t="shared" si="61"/>
        <v>-1458</v>
      </c>
      <c r="T99" s="136"/>
      <c r="U99" s="136"/>
      <c r="V99" s="45">
        <f t="shared" si="62"/>
        <v>-1458</v>
      </c>
      <c r="W99" s="143"/>
      <c r="X99" s="4"/>
      <c r="Y99" s="4"/>
      <c r="Z99" s="4"/>
    </row>
    <row r="100" spans="1:26" ht="15.75" customHeight="1">
      <c r="A100" s="114"/>
      <c r="B100" s="117"/>
      <c r="C100" s="117"/>
      <c r="D100" s="19">
        <f t="shared" si="56"/>
        <v>-1458</v>
      </c>
      <c r="E100" s="106"/>
      <c r="F100" s="107"/>
      <c r="G100" s="26">
        <f t="shared" si="57"/>
        <v>-1458</v>
      </c>
      <c r="H100" s="133"/>
      <c r="I100" s="117"/>
      <c r="J100" s="19">
        <f t="shared" si="58"/>
        <v>-1458</v>
      </c>
      <c r="K100" s="106"/>
      <c r="L100" s="107"/>
      <c r="M100" s="26">
        <f t="shared" si="59"/>
        <v>-1458</v>
      </c>
      <c r="N100" s="117"/>
      <c r="O100" s="117"/>
      <c r="P100" s="38">
        <f t="shared" si="60"/>
        <v>-1458</v>
      </c>
      <c r="Q100" s="106"/>
      <c r="R100" s="107"/>
      <c r="S100" s="26">
        <f t="shared" si="61"/>
        <v>-1458</v>
      </c>
      <c r="T100" s="136"/>
      <c r="U100" s="136"/>
      <c r="V100" s="45">
        <f t="shared" si="62"/>
        <v>-1458</v>
      </c>
      <c r="W100" s="143"/>
      <c r="X100" s="4"/>
      <c r="Y100" s="4"/>
      <c r="Z100" s="4"/>
    </row>
    <row r="101" spans="1:26" ht="15.75" customHeight="1">
      <c r="A101" s="114"/>
      <c r="B101" s="117"/>
      <c r="C101" s="117"/>
      <c r="D101" s="19">
        <f t="shared" si="56"/>
        <v>-1458</v>
      </c>
      <c r="E101" s="122"/>
      <c r="F101" s="123"/>
      <c r="G101" s="26">
        <f t="shared" si="57"/>
        <v>-1458</v>
      </c>
      <c r="H101" s="133"/>
      <c r="I101" s="117"/>
      <c r="J101" s="19">
        <f t="shared" si="58"/>
        <v>-1458</v>
      </c>
      <c r="K101" s="122"/>
      <c r="L101" s="123"/>
      <c r="M101" s="26">
        <f t="shared" si="59"/>
        <v>-1458</v>
      </c>
      <c r="N101" s="117"/>
      <c r="O101" s="117"/>
      <c r="P101" s="38">
        <f t="shared" si="60"/>
        <v>-1458</v>
      </c>
      <c r="Q101" s="122"/>
      <c r="R101" s="123"/>
      <c r="S101" s="26">
        <f t="shared" si="61"/>
        <v>-1458</v>
      </c>
      <c r="T101" s="136"/>
      <c r="U101" s="136"/>
      <c r="V101" s="45">
        <f t="shared" si="62"/>
        <v>-1458</v>
      </c>
      <c r="W101" s="143"/>
      <c r="X101" s="4"/>
      <c r="Y101" s="4"/>
      <c r="Z101" s="4"/>
    </row>
    <row r="102" spans="1:26" ht="15.75" customHeight="1">
      <c r="A102" s="114"/>
      <c r="B102" s="128"/>
      <c r="C102" s="128"/>
      <c r="D102" s="29">
        <f t="shared" si="56"/>
        <v>-1458</v>
      </c>
      <c r="E102" s="122"/>
      <c r="F102" s="123"/>
      <c r="G102" s="53">
        <f t="shared" si="57"/>
        <v>-1458</v>
      </c>
      <c r="H102" s="140"/>
      <c r="I102" s="128"/>
      <c r="J102" s="29">
        <f t="shared" si="58"/>
        <v>-1458</v>
      </c>
      <c r="K102" s="122"/>
      <c r="L102" s="123"/>
      <c r="M102" s="39">
        <f t="shared" si="59"/>
        <v>-1458</v>
      </c>
      <c r="N102" s="128"/>
      <c r="O102" s="128"/>
      <c r="P102" s="40">
        <f t="shared" si="60"/>
        <v>-1458</v>
      </c>
      <c r="Q102" s="122"/>
      <c r="R102" s="123"/>
      <c r="S102" s="39">
        <f t="shared" si="61"/>
        <v>-1458</v>
      </c>
      <c r="T102" s="141"/>
      <c r="U102" s="141"/>
      <c r="V102" s="46">
        <f t="shared" si="62"/>
        <v>-1458</v>
      </c>
      <c r="W102" s="143"/>
      <c r="X102" s="4"/>
      <c r="Y102" s="4"/>
      <c r="Z102" s="4"/>
    </row>
    <row r="103" spans="1:26" ht="15.75" customHeight="1">
      <c r="A103" s="87"/>
      <c r="B103" s="77">
        <f ca="1">IFERROR(__xludf.DUMMYFUNCTION("DATE(VALUE(LEFT($B$2,4)),VALUE(MID($B$2,6,2)),VALUE(RIGHT($B$2,2)))
+ (VALUE(REGEXEXTRACT(INDIRECT(""A""&amp;ROW()+1),""\d+""))-1)*7
+ INT((COLUMN()-COLUMN($B103))/3)
"),46446)</f>
        <v>46446</v>
      </c>
      <c r="C103" s="81"/>
      <c r="D103" s="82"/>
      <c r="E103" s="77">
        <f ca="1">IFERROR(__xludf.DUMMYFUNCTION("DATE(VALUE(LEFT($B$2,4)),VALUE(MID($B$2,6,2)),VALUE(RIGHT($B$2,2)))
+ (VALUE(REGEXEXTRACT(INDIRECT(""A""&amp;ROW()+1),""\d+""))-1)*7
+ INT((COLUMN()-COLUMN($B103))/3)
"),46447)</f>
        <v>46447</v>
      </c>
      <c r="F103" s="81"/>
      <c r="G103" s="82"/>
      <c r="H103" s="77">
        <f ca="1">IFERROR(__xludf.DUMMYFUNCTION("DATE(VALUE(LEFT($B$2,4)),VALUE(MID($B$2,6,2)),VALUE(RIGHT($B$2,2)))
+ (VALUE(REGEXEXTRACT(INDIRECT(""A""&amp;ROW()+1),""\d+""))-1)*7
+ INT((COLUMN()-COLUMN($B103))/3)
"),46448)</f>
        <v>46448</v>
      </c>
      <c r="I103" s="81"/>
      <c r="J103" s="82"/>
      <c r="K103" s="77">
        <f ca="1">IFERROR(__xludf.DUMMYFUNCTION("DATE(VALUE(LEFT($B$2,4)),VALUE(MID($B$2,6,2)),VALUE(RIGHT($B$2,2)))
+ (VALUE(REGEXEXTRACT(INDIRECT(""A""&amp;ROW()+1),""\d+""))-1)*7
+ INT((COLUMN()-COLUMN($B103))/3)
"),46449)</f>
        <v>46449</v>
      </c>
      <c r="L103" s="81"/>
      <c r="M103" s="82"/>
      <c r="N103" s="77">
        <f ca="1">IFERROR(__xludf.DUMMYFUNCTION("DATE(VALUE(LEFT($B$2,4)),VALUE(MID($B$2,6,2)),VALUE(RIGHT($B$2,2)))
+ (VALUE(REGEXEXTRACT(INDIRECT(""A""&amp;ROW()+1),""\d+""))-1)*7
+ INT((COLUMN()-COLUMN($B103))/3)
"),46450)</f>
        <v>46450</v>
      </c>
      <c r="O103" s="81"/>
      <c r="P103" s="82"/>
      <c r="Q103" s="77">
        <f ca="1">IFERROR(__xludf.DUMMYFUNCTION("DATE(VALUE(LEFT($B$2,4)),VALUE(MID($B$2,6,2)),VALUE(RIGHT($B$2,2)))
+ (VALUE(REGEXEXTRACT(INDIRECT(""A""&amp;ROW()+1),""\d+""))-1)*7
+ INT((COLUMN()-COLUMN($B103))/3)
"),46451)</f>
        <v>46451</v>
      </c>
      <c r="R103" s="81"/>
      <c r="S103" s="82"/>
      <c r="T103" s="77">
        <f ca="1">IFERROR(__xludf.DUMMYFUNCTION("DATE(VALUE(LEFT($B$2,4)),VALUE(MID($B$2,6,2)),VALUE(RIGHT($B$2,2)))
+ (VALUE(REGEXEXTRACT(INDIRECT(""A""&amp;ROW()+1),""\d+""))-1)*7
+ INT((COLUMN()-COLUMN($B103))/3)
"),46452)</f>
        <v>46452</v>
      </c>
      <c r="U103" s="81"/>
      <c r="V103" s="82"/>
      <c r="W103" s="143"/>
      <c r="X103" s="4"/>
      <c r="Y103" s="4"/>
      <c r="Z103" s="4"/>
    </row>
    <row r="104" spans="1:26" ht="15.75" customHeight="1">
      <c r="A104" s="51" t="s">
        <v>145</v>
      </c>
      <c r="B104" s="112"/>
      <c r="C104" s="111"/>
      <c r="D104" s="17">
        <f>V102+C104</f>
        <v>-1458</v>
      </c>
      <c r="E104" s="109"/>
      <c r="F104" s="109"/>
      <c r="G104" s="54">
        <f>D114+F104</f>
        <v>-1458</v>
      </c>
      <c r="H104" s="112"/>
      <c r="I104" s="111"/>
      <c r="J104" s="17">
        <f>G114+I104</f>
        <v>-1458</v>
      </c>
      <c r="K104" s="109"/>
      <c r="L104" s="109"/>
      <c r="M104" s="35">
        <f>J114+L104</f>
        <v>-1458</v>
      </c>
      <c r="N104" s="112"/>
      <c r="O104" s="111"/>
      <c r="P104" s="17">
        <f>M114+O104</f>
        <v>-1458</v>
      </c>
      <c r="Q104" s="109"/>
      <c r="R104" s="109"/>
      <c r="S104" s="35">
        <f>P114+R104</f>
        <v>-1458</v>
      </c>
      <c r="T104" s="112"/>
      <c r="U104" s="111"/>
      <c r="V104" s="48">
        <f>S114+U104</f>
        <v>-1458</v>
      </c>
      <c r="W104" s="143"/>
      <c r="X104" s="4"/>
      <c r="Y104" s="4"/>
      <c r="Z104" s="4"/>
    </row>
    <row r="105" spans="1:26" ht="15.75" customHeight="1">
      <c r="A105" s="114"/>
      <c r="B105" s="122"/>
      <c r="C105" s="123"/>
      <c r="D105" s="26">
        <f t="shared" ref="D105:D114" si="63">D104+C105</f>
        <v>-1458</v>
      </c>
      <c r="E105" s="117"/>
      <c r="F105" s="117"/>
      <c r="G105" s="19">
        <f t="shared" ref="G105:G114" si="64">G104+F105</f>
        <v>-1458</v>
      </c>
      <c r="H105" s="106"/>
      <c r="I105" s="107"/>
      <c r="J105" s="26">
        <f t="shared" ref="J105:J114" si="65">J104+I105</f>
        <v>-1458</v>
      </c>
      <c r="K105" s="117"/>
      <c r="L105" s="117"/>
      <c r="M105" s="38">
        <f t="shared" ref="M105:M114" si="66">M104+L105</f>
        <v>-1458</v>
      </c>
      <c r="N105" s="106"/>
      <c r="O105" s="107"/>
      <c r="P105" s="26">
        <f t="shared" ref="P105:P114" si="67">P104+O105</f>
        <v>-1458</v>
      </c>
      <c r="Q105" s="117"/>
      <c r="R105" s="117"/>
      <c r="S105" s="38">
        <f t="shared" ref="S105:S114" si="68">S104+R105</f>
        <v>-1458</v>
      </c>
      <c r="T105" s="106"/>
      <c r="U105" s="107"/>
      <c r="V105" s="20">
        <f t="shared" ref="V105:V114" si="69">V104+U105</f>
        <v>-1458</v>
      </c>
      <c r="W105" s="143"/>
      <c r="X105" s="4"/>
      <c r="Y105" s="4"/>
      <c r="Z105" s="4"/>
    </row>
    <row r="106" spans="1:26" ht="15.75" customHeight="1">
      <c r="A106" s="114"/>
      <c r="B106" s="122"/>
      <c r="C106" s="123"/>
      <c r="D106" s="26">
        <f t="shared" si="63"/>
        <v>-1458</v>
      </c>
      <c r="E106" s="117"/>
      <c r="F106" s="117"/>
      <c r="G106" s="19">
        <f t="shared" si="64"/>
        <v>-1458</v>
      </c>
      <c r="H106" s="106"/>
      <c r="I106" s="107"/>
      <c r="J106" s="26">
        <f t="shared" si="65"/>
        <v>-1458</v>
      </c>
      <c r="K106" s="117"/>
      <c r="L106" s="117"/>
      <c r="M106" s="38">
        <f t="shared" si="66"/>
        <v>-1458</v>
      </c>
      <c r="N106" s="106"/>
      <c r="O106" s="107"/>
      <c r="P106" s="26">
        <f t="shared" si="67"/>
        <v>-1458</v>
      </c>
      <c r="Q106" s="117"/>
      <c r="R106" s="117"/>
      <c r="S106" s="38">
        <f t="shared" si="68"/>
        <v>-1458</v>
      </c>
      <c r="T106" s="106"/>
      <c r="U106" s="116"/>
      <c r="V106" s="20">
        <f t="shared" si="69"/>
        <v>-1458</v>
      </c>
      <c r="W106" s="143"/>
      <c r="X106" s="4"/>
      <c r="Y106" s="4"/>
      <c r="Z106" s="4"/>
    </row>
    <row r="107" spans="1:26" ht="15.75" customHeight="1">
      <c r="A107" s="114"/>
      <c r="B107" s="122"/>
      <c r="C107" s="123"/>
      <c r="D107" s="26">
        <f t="shared" si="63"/>
        <v>-1458</v>
      </c>
      <c r="E107" s="117"/>
      <c r="F107" s="117"/>
      <c r="G107" s="19">
        <f t="shared" si="64"/>
        <v>-1458</v>
      </c>
      <c r="H107" s="106"/>
      <c r="I107" s="107"/>
      <c r="J107" s="26">
        <f t="shared" si="65"/>
        <v>-1458</v>
      </c>
      <c r="K107" s="117"/>
      <c r="L107" s="117"/>
      <c r="M107" s="38">
        <f t="shared" si="66"/>
        <v>-1458</v>
      </c>
      <c r="N107" s="106"/>
      <c r="O107" s="107"/>
      <c r="P107" s="26">
        <f t="shared" si="67"/>
        <v>-1458</v>
      </c>
      <c r="Q107" s="117"/>
      <c r="R107" s="117"/>
      <c r="S107" s="38">
        <f t="shared" si="68"/>
        <v>-1458</v>
      </c>
      <c r="T107" s="106"/>
      <c r="U107" s="116"/>
      <c r="V107" s="20">
        <f t="shared" si="69"/>
        <v>-1458</v>
      </c>
      <c r="W107" s="143"/>
      <c r="X107" s="4"/>
      <c r="Y107" s="4"/>
      <c r="Z107" s="4"/>
    </row>
    <row r="108" spans="1:26" ht="15.75" customHeight="1">
      <c r="A108" s="114"/>
      <c r="B108" s="122"/>
      <c r="C108" s="123"/>
      <c r="D108" s="26">
        <f t="shared" si="63"/>
        <v>-1458</v>
      </c>
      <c r="E108" s="117"/>
      <c r="F108" s="117"/>
      <c r="G108" s="19">
        <f t="shared" si="64"/>
        <v>-1458</v>
      </c>
      <c r="H108" s="106"/>
      <c r="I108" s="107"/>
      <c r="J108" s="26">
        <f t="shared" si="65"/>
        <v>-1458</v>
      </c>
      <c r="K108" s="117"/>
      <c r="L108" s="117"/>
      <c r="M108" s="38">
        <f t="shared" si="66"/>
        <v>-1458</v>
      </c>
      <c r="N108" s="106"/>
      <c r="O108" s="107"/>
      <c r="P108" s="26">
        <f t="shared" si="67"/>
        <v>-1458</v>
      </c>
      <c r="Q108" s="117"/>
      <c r="R108" s="117"/>
      <c r="S108" s="38">
        <f t="shared" si="68"/>
        <v>-1458</v>
      </c>
      <c r="T108" s="106"/>
      <c r="U108" s="116"/>
      <c r="V108" s="20">
        <f t="shared" si="69"/>
        <v>-1458</v>
      </c>
      <c r="W108" s="143"/>
      <c r="X108" s="4"/>
      <c r="Y108" s="4"/>
      <c r="Z108" s="4"/>
    </row>
    <row r="109" spans="1:26" ht="15.75" customHeight="1">
      <c r="A109" s="114"/>
      <c r="B109" s="122"/>
      <c r="C109" s="123"/>
      <c r="D109" s="26">
        <f t="shared" si="63"/>
        <v>-1458</v>
      </c>
      <c r="E109" s="117"/>
      <c r="F109" s="117"/>
      <c r="G109" s="19">
        <f t="shared" si="64"/>
        <v>-1458</v>
      </c>
      <c r="H109" s="106"/>
      <c r="I109" s="107"/>
      <c r="J109" s="26">
        <f t="shared" si="65"/>
        <v>-1458</v>
      </c>
      <c r="K109" s="117"/>
      <c r="L109" s="117"/>
      <c r="M109" s="38">
        <f t="shared" si="66"/>
        <v>-1458</v>
      </c>
      <c r="N109" s="106"/>
      <c r="O109" s="107"/>
      <c r="P109" s="26">
        <f t="shared" si="67"/>
        <v>-1458</v>
      </c>
      <c r="Q109" s="117"/>
      <c r="R109" s="117"/>
      <c r="S109" s="38">
        <f t="shared" si="68"/>
        <v>-1458</v>
      </c>
      <c r="T109" s="106"/>
      <c r="U109" s="116"/>
      <c r="V109" s="20">
        <f t="shared" si="69"/>
        <v>-1458</v>
      </c>
      <c r="W109" s="143"/>
      <c r="X109" s="4"/>
      <c r="Y109" s="4"/>
      <c r="Z109" s="4"/>
    </row>
    <row r="110" spans="1:26" ht="15.75" customHeight="1">
      <c r="A110" s="114"/>
      <c r="B110" s="122"/>
      <c r="C110" s="123"/>
      <c r="D110" s="26">
        <f t="shared" si="63"/>
        <v>-1458</v>
      </c>
      <c r="E110" s="117"/>
      <c r="F110" s="117"/>
      <c r="G110" s="19">
        <f t="shared" si="64"/>
        <v>-1458</v>
      </c>
      <c r="H110" s="106"/>
      <c r="I110" s="107"/>
      <c r="J110" s="26">
        <f t="shared" si="65"/>
        <v>-1458</v>
      </c>
      <c r="K110" s="117"/>
      <c r="L110" s="117"/>
      <c r="M110" s="38">
        <f t="shared" si="66"/>
        <v>-1458</v>
      </c>
      <c r="N110" s="106"/>
      <c r="O110" s="107"/>
      <c r="P110" s="26">
        <f t="shared" si="67"/>
        <v>-1458</v>
      </c>
      <c r="Q110" s="117"/>
      <c r="R110" s="117"/>
      <c r="S110" s="38">
        <f t="shared" si="68"/>
        <v>-1458</v>
      </c>
      <c r="T110" s="106"/>
      <c r="U110" s="116"/>
      <c r="V110" s="20">
        <f t="shared" si="69"/>
        <v>-1458</v>
      </c>
      <c r="W110" s="143"/>
      <c r="X110" s="4"/>
      <c r="Y110" s="4"/>
      <c r="Z110" s="4"/>
    </row>
    <row r="111" spans="1:26" ht="15.75" customHeight="1">
      <c r="A111" s="114"/>
      <c r="B111" s="122"/>
      <c r="C111" s="123"/>
      <c r="D111" s="26">
        <f t="shared" si="63"/>
        <v>-1458</v>
      </c>
      <c r="E111" s="117"/>
      <c r="F111" s="117"/>
      <c r="G111" s="19">
        <f t="shared" si="64"/>
        <v>-1458</v>
      </c>
      <c r="H111" s="106"/>
      <c r="I111" s="107"/>
      <c r="J111" s="26">
        <f t="shared" si="65"/>
        <v>-1458</v>
      </c>
      <c r="K111" s="117"/>
      <c r="L111" s="117"/>
      <c r="M111" s="38">
        <f t="shared" si="66"/>
        <v>-1458</v>
      </c>
      <c r="N111" s="106"/>
      <c r="O111" s="107"/>
      <c r="P111" s="26">
        <f t="shared" si="67"/>
        <v>-1458</v>
      </c>
      <c r="Q111" s="117"/>
      <c r="R111" s="117"/>
      <c r="S111" s="38">
        <f t="shared" si="68"/>
        <v>-1458</v>
      </c>
      <c r="T111" s="106"/>
      <c r="U111" s="116"/>
      <c r="V111" s="20">
        <f t="shared" si="69"/>
        <v>-1458</v>
      </c>
      <c r="W111" s="143"/>
      <c r="X111" s="4"/>
      <c r="Y111" s="4"/>
      <c r="Z111" s="4"/>
    </row>
    <row r="112" spans="1:26" ht="15.75" customHeight="1">
      <c r="A112" s="114"/>
      <c r="B112" s="122"/>
      <c r="C112" s="123"/>
      <c r="D112" s="26">
        <f t="shared" si="63"/>
        <v>-1458</v>
      </c>
      <c r="E112" s="117"/>
      <c r="F112" s="117"/>
      <c r="G112" s="19">
        <f t="shared" si="64"/>
        <v>-1458</v>
      </c>
      <c r="H112" s="106"/>
      <c r="I112" s="107"/>
      <c r="J112" s="26">
        <f t="shared" si="65"/>
        <v>-1458</v>
      </c>
      <c r="K112" s="117"/>
      <c r="L112" s="117"/>
      <c r="M112" s="38">
        <f t="shared" si="66"/>
        <v>-1458</v>
      </c>
      <c r="N112" s="122"/>
      <c r="O112" s="123"/>
      <c r="P112" s="26">
        <f t="shared" si="67"/>
        <v>-1458</v>
      </c>
      <c r="Q112" s="117"/>
      <c r="R112" s="117"/>
      <c r="S112" s="38">
        <f t="shared" si="68"/>
        <v>-1458</v>
      </c>
      <c r="T112" s="106"/>
      <c r="U112" s="116"/>
      <c r="V112" s="20">
        <f t="shared" si="69"/>
        <v>-1458</v>
      </c>
      <c r="W112" s="143"/>
      <c r="X112" s="4"/>
      <c r="Y112" s="4"/>
      <c r="Z112" s="4"/>
    </row>
    <row r="113" spans="1:23" ht="15.75" customHeight="1">
      <c r="A113" s="114"/>
      <c r="B113" s="122"/>
      <c r="C113" s="123"/>
      <c r="D113" s="26">
        <f t="shared" si="63"/>
        <v>-1458</v>
      </c>
      <c r="E113" s="117"/>
      <c r="F113" s="117"/>
      <c r="G113" s="19">
        <f t="shared" si="64"/>
        <v>-1458</v>
      </c>
      <c r="H113" s="106"/>
      <c r="I113" s="107"/>
      <c r="J113" s="26">
        <f t="shared" si="65"/>
        <v>-1458</v>
      </c>
      <c r="K113" s="117"/>
      <c r="L113" s="117"/>
      <c r="M113" s="38">
        <f t="shared" si="66"/>
        <v>-1458</v>
      </c>
      <c r="N113" s="122"/>
      <c r="O113" s="123"/>
      <c r="P113" s="26">
        <f t="shared" si="67"/>
        <v>-1458</v>
      </c>
      <c r="Q113" s="117"/>
      <c r="R113" s="117"/>
      <c r="S113" s="38">
        <f t="shared" si="68"/>
        <v>-1458</v>
      </c>
      <c r="T113" s="122"/>
      <c r="U113" s="124"/>
      <c r="V113" s="20">
        <f t="shared" si="69"/>
        <v>-1458</v>
      </c>
      <c r="W113" s="143"/>
    </row>
    <row r="114" spans="1:23" ht="15.75" customHeight="1">
      <c r="A114" s="114"/>
      <c r="B114" s="122"/>
      <c r="C114" s="123"/>
      <c r="D114" s="39">
        <f t="shared" si="63"/>
        <v>-1458</v>
      </c>
      <c r="E114" s="128"/>
      <c r="F114" s="128"/>
      <c r="G114" s="29">
        <f t="shared" si="64"/>
        <v>-1458</v>
      </c>
      <c r="H114" s="124"/>
      <c r="I114" s="123"/>
      <c r="J114" s="39">
        <f t="shared" si="65"/>
        <v>-1458</v>
      </c>
      <c r="K114" s="128"/>
      <c r="L114" s="128"/>
      <c r="M114" s="40">
        <f t="shared" si="66"/>
        <v>-1458</v>
      </c>
      <c r="N114" s="122"/>
      <c r="O114" s="123"/>
      <c r="P114" s="39">
        <f t="shared" si="67"/>
        <v>-1458</v>
      </c>
      <c r="Q114" s="128"/>
      <c r="R114" s="128"/>
      <c r="S114" s="40">
        <f t="shared" si="68"/>
        <v>-1458</v>
      </c>
      <c r="T114" s="122"/>
      <c r="U114" s="123"/>
      <c r="V114" s="49">
        <f t="shared" si="69"/>
        <v>-1458</v>
      </c>
      <c r="W114" s="143"/>
    </row>
    <row r="115" spans="1:23" ht="15.75" customHeight="1">
      <c r="A115" s="87"/>
      <c r="B115" s="77">
        <f ca="1">IFERROR(__xludf.DUMMYFUNCTION("DATE(VALUE(LEFT($B$2,4)),VALUE(MID($B$2,6,2)),VALUE(RIGHT($B$2,2)))
+ (VALUE(REGEXEXTRACT(INDIRECT(""A""&amp;ROW()+1),""\d+""))-1)*7
+ INT((COLUMN()-COLUMN($B115))/3)
"),46453)</f>
        <v>46453</v>
      </c>
      <c r="C115" s="81"/>
      <c r="D115" s="82"/>
      <c r="E115" s="77">
        <f ca="1">IFERROR(__xludf.DUMMYFUNCTION("DATE(VALUE(LEFT($B$2,4)),VALUE(MID($B$2,6,2)),VALUE(RIGHT($B$2,2)))
+ (VALUE(REGEXEXTRACT(INDIRECT(""A""&amp;ROW()+1),""\d+""))-1)*7
+ INT((COLUMN()-COLUMN($B115))/3)
"),46454)</f>
        <v>46454</v>
      </c>
      <c r="F115" s="81"/>
      <c r="G115" s="82"/>
      <c r="H115" s="77">
        <f ca="1">IFERROR(__xludf.DUMMYFUNCTION("DATE(VALUE(LEFT($B$2,4)),VALUE(MID($B$2,6,2)),VALUE(RIGHT($B$2,2)))
+ (VALUE(REGEXEXTRACT(INDIRECT(""A""&amp;ROW()+1),""\d+""))-1)*7
+ INT((COLUMN()-COLUMN($B115))/3)
"),46455)</f>
        <v>46455</v>
      </c>
      <c r="I115" s="81"/>
      <c r="J115" s="82"/>
      <c r="K115" s="77">
        <f ca="1">IFERROR(__xludf.DUMMYFUNCTION("DATE(VALUE(LEFT($B$2,4)),VALUE(MID($B$2,6,2)),VALUE(RIGHT($B$2,2)))
+ (VALUE(REGEXEXTRACT(INDIRECT(""A""&amp;ROW()+1),""\d+""))-1)*7
+ INT((COLUMN()-COLUMN($B115))/3)
"),46456)</f>
        <v>46456</v>
      </c>
      <c r="L115" s="81"/>
      <c r="M115" s="82"/>
      <c r="N115" s="77">
        <f ca="1">IFERROR(__xludf.DUMMYFUNCTION("DATE(VALUE(LEFT($B$2,4)),VALUE(MID($B$2,6,2)),VALUE(RIGHT($B$2,2)))
+ (VALUE(REGEXEXTRACT(INDIRECT(""A""&amp;ROW()+1),""\d+""))-1)*7
+ INT((COLUMN()-COLUMN($B115))/3)
"),46457)</f>
        <v>46457</v>
      </c>
      <c r="O115" s="81"/>
      <c r="P115" s="82"/>
      <c r="Q115" s="77">
        <f ca="1">IFERROR(__xludf.DUMMYFUNCTION("DATE(VALUE(LEFT($B$2,4)),VALUE(MID($B$2,6,2)),VALUE(RIGHT($B$2,2)))
+ (VALUE(REGEXEXTRACT(INDIRECT(""A""&amp;ROW()+1),""\d+""))-1)*7
+ INT((COLUMN()-COLUMN($B115))/3)
"),46458)</f>
        <v>46458</v>
      </c>
      <c r="R115" s="81"/>
      <c r="S115" s="82"/>
      <c r="T115" s="77">
        <f ca="1">IFERROR(__xludf.DUMMYFUNCTION("DATE(VALUE(LEFT($B$2,4)),VALUE(MID($B$2,6,2)),VALUE(RIGHT($B$2,2)))
+ (VALUE(REGEXEXTRACT(INDIRECT(""A""&amp;ROW()+1),""\d+""))-1)*7
+ INT((COLUMN()-COLUMN($B115))/3)
"),46459)</f>
        <v>46459</v>
      </c>
      <c r="U115" s="81"/>
      <c r="V115" s="82"/>
      <c r="W115" s="52" t="s">
        <v>20</v>
      </c>
    </row>
    <row r="116" spans="1:23" ht="15.75" customHeight="1">
      <c r="A116" s="47" t="s">
        <v>146</v>
      </c>
      <c r="B116" s="109"/>
      <c r="C116" s="109"/>
      <c r="D116" s="42">
        <f>V114+C116</f>
        <v>-1458</v>
      </c>
      <c r="E116" s="112"/>
      <c r="F116" s="111"/>
      <c r="G116" s="36">
        <f>D126+F116</f>
        <v>-1458</v>
      </c>
      <c r="H116" s="132"/>
      <c r="I116" s="109"/>
      <c r="J116" s="42">
        <f>G126+I116</f>
        <v>-1458</v>
      </c>
      <c r="K116" s="112"/>
      <c r="L116" s="111"/>
      <c r="M116" s="18">
        <f>J126+L116</f>
        <v>-1458</v>
      </c>
      <c r="N116" s="113"/>
      <c r="O116" s="109"/>
      <c r="P116" s="35">
        <f>M126+O116</f>
        <v>-1458</v>
      </c>
      <c r="Q116" s="112"/>
      <c r="R116" s="111"/>
      <c r="S116" s="18">
        <f>P126+R116</f>
        <v>-1458</v>
      </c>
      <c r="T116" s="113"/>
      <c r="U116" s="109"/>
      <c r="V116" s="50">
        <f>S126+U116</f>
        <v>-1458</v>
      </c>
      <c r="W116" s="172"/>
    </row>
    <row r="117" spans="1:23" ht="15.75" customHeight="1">
      <c r="A117" s="114"/>
      <c r="B117" s="117"/>
      <c r="C117" s="117"/>
      <c r="D117" s="19">
        <f t="shared" ref="D117:D126" si="70">D116+C117</f>
        <v>-1458</v>
      </c>
      <c r="E117" s="106"/>
      <c r="F117" s="107"/>
      <c r="G117" s="26">
        <f t="shared" ref="G117:G126" si="71">G116+F117</f>
        <v>-1458</v>
      </c>
      <c r="H117" s="133"/>
      <c r="I117" s="117"/>
      <c r="J117" s="19">
        <f t="shared" ref="J117:J126" si="72">J116+I117</f>
        <v>-1458</v>
      </c>
      <c r="K117" s="106"/>
      <c r="L117" s="107"/>
      <c r="M117" s="26">
        <f t="shared" ref="M117:M126" si="73">M116+L117</f>
        <v>-1458</v>
      </c>
      <c r="N117" s="118"/>
      <c r="O117" s="117"/>
      <c r="P117" s="38">
        <f t="shared" ref="P117:P126" si="74">P116+O117</f>
        <v>-1458</v>
      </c>
      <c r="Q117" s="106"/>
      <c r="R117" s="107"/>
      <c r="S117" s="26">
        <f t="shared" ref="S117:S126" si="75">S116+R117</f>
        <v>-1458</v>
      </c>
      <c r="T117" s="136"/>
      <c r="U117" s="136"/>
      <c r="V117" s="45">
        <f t="shared" ref="V117:V126" si="76">V116+U117</f>
        <v>-1458</v>
      </c>
      <c r="W117" s="143"/>
    </row>
    <row r="118" spans="1:23" ht="15.75" customHeight="1">
      <c r="A118" s="114"/>
      <c r="B118" s="117"/>
      <c r="C118" s="117"/>
      <c r="D118" s="19">
        <f t="shared" si="70"/>
        <v>-1458</v>
      </c>
      <c r="E118" s="106"/>
      <c r="F118" s="107"/>
      <c r="G118" s="26">
        <f t="shared" si="71"/>
        <v>-1458</v>
      </c>
      <c r="H118" s="133"/>
      <c r="I118" s="117"/>
      <c r="J118" s="19">
        <f t="shared" si="72"/>
        <v>-1458</v>
      </c>
      <c r="K118" s="106"/>
      <c r="L118" s="107"/>
      <c r="M118" s="26">
        <f t="shared" si="73"/>
        <v>-1458</v>
      </c>
      <c r="N118" s="117"/>
      <c r="O118" s="117"/>
      <c r="P118" s="38">
        <f t="shared" si="74"/>
        <v>-1458</v>
      </c>
      <c r="Q118" s="106"/>
      <c r="R118" s="107"/>
      <c r="S118" s="26">
        <f t="shared" si="75"/>
        <v>-1458</v>
      </c>
      <c r="T118" s="136"/>
      <c r="U118" s="136"/>
      <c r="V118" s="45">
        <f t="shared" si="76"/>
        <v>-1458</v>
      </c>
      <c r="W118" s="143"/>
    </row>
    <row r="119" spans="1:23" ht="15.75" customHeight="1">
      <c r="A119" s="114"/>
      <c r="B119" s="117"/>
      <c r="C119" s="117"/>
      <c r="D119" s="19">
        <f t="shared" si="70"/>
        <v>-1458</v>
      </c>
      <c r="E119" s="106"/>
      <c r="F119" s="107"/>
      <c r="G119" s="26">
        <f t="shared" si="71"/>
        <v>-1458</v>
      </c>
      <c r="H119" s="133"/>
      <c r="I119" s="117"/>
      <c r="J119" s="19">
        <f t="shared" si="72"/>
        <v>-1458</v>
      </c>
      <c r="K119" s="106"/>
      <c r="L119" s="107"/>
      <c r="M119" s="26">
        <f t="shared" si="73"/>
        <v>-1458</v>
      </c>
      <c r="N119" s="117"/>
      <c r="O119" s="117"/>
      <c r="P119" s="38">
        <f t="shared" si="74"/>
        <v>-1458</v>
      </c>
      <c r="Q119" s="106"/>
      <c r="R119" s="107"/>
      <c r="S119" s="26">
        <f t="shared" si="75"/>
        <v>-1458</v>
      </c>
      <c r="T119" s="117"/>
      <c r="U119" s="117"/>
      <c r="V119" s="45">
        <f t="shared" si="76"/>
        <v>-1458</v>
      </c>
      <c r="W119" s="143"/>
    </row>
    <row r="120" spans="1:23" ht="15.75" customHeight="1">
      <c r="A120" s="114"/>
      <c r="B120" s="117"/>
      <c r="C120" s="117"/>
      <c r="D120" s="19">
        <f t="shared" si="70"/>
        <v>-1458</v>
      </c>
      <c r="E120" s="106"/>
      <c r="F120" s="107"/>
      <c r="G120" s="26">
        <f t="shared" si="71"/>
        <v>-1458</v>
      </c>
      <c r="H120" s="133"/>
      <c r="I120" s="117"/>
      <c r="J120" s="19">
        <f t="shared" si="72"/>
        <v>-1458</v>
      </c>
      <c r="K120" s="106"/>
      <c r="L120" s="107"/>
      <c r="M120" s="26">
        <f t="shared" si="73"/>
        <v>-1458</v>
      </c>
      <c r="N120" s="117"/>
      <c r="O120" s="117"/>
      <c r="P120" s="38">
        <f t="shared" si="74"/>
        <v>-1458</v>
      </c>
      <c r="Q120" s="106"/>
      <c r="R120" s="107"/>
      <c r="S120" s="26">
        <f t="shared" si="75"/>
        <v>-1458</v>
      </c>
      <c r="T120" s="117"/>
      <c r="U120" s="117"/>
      <c r="V120" s="45">
        <f t="shared" si="76"/>
        <v>-1458</v>
      </c>
      <c r="W120" s="143"/>
    </row>
    <row r="121" spans="1:23" ht="15.75" customHeight="1">
      <c r="A121" s="114"/>
      <c r="B121" s="118"/>
      <c r="C121" s="117"/>
      <c r="D121" s="19">
        <f t="shared" si="70"/>
        <v>-1458</v>
      </c>
      <c r="E121" s="106"/>
      <c r="F121" s="107"/>
      <c r="G121" s="26">
        <f t="shared" si="71"/>
        <v>-1458</v>
      </c>
      <c r="H121" s="133"/>
      <c r="I121" s="117"/>
      <c r="J121" s="19">
        <f t="shared" si="72"/>
        <v>-1458</v>
      </c>
      <c r="K121" s="106"/>
      <c r="L121" s="107"/>
      <c r="M121" s="26">
        <f t="shared" si="73"/>
        <v>-1458</v>
      </c>
      <c r="N121" s="117"/>
      <c r="O121" s="117"/>
      <c r="P121" s="38">
        <f t="shared" si="74"/>
        <v>-1458</v>
      </c>
      <c r="Q121" s="106"/>
      <c r="R121" s="107"/>
      <c r="S121" s="26">
        <f t="shared" si="75"/>
        <v>-1458</v>
      </c>
      <c r="T121" s="117"/>
      <c r="U121" s="117"/>
      <c r="V121" s="45">
        <f t="shared" si="76"/>
        <v>-1458</v>
      </c>
      <c r="W121" s="143"/>
    </row>
    <row r="122" spans="1:23" ht="15.75" customHeight="1">
      <c r="A122" s="114"/>
      <c r="B122" s="117"/>
      <c r="C122" s="117"/>
      <c r="D122" s="19">
        <f t="shared" si="70"/>
        <v>-1458</v>
      </c>
      <c r="E122" s="106"/>
      <c r="F122" s="107"/>
      <c r="G122" s="26">
        <f t="shared" si="71"/>
        <v>-1458</v>
      </c>
      <c r="H122" s="133"/>
      <c r="I122" s="117"/>
      <c r="J122" s="19">
        <f t="shared" si="72"/>
        <v>-1458</v>
      </c>
      <c r="K122" s="106"/>
      <c r="L122" s="107"/>
      <c r="M122" s="26">
        <f t="shared" si="73"/>
        <v>-1458</v>
      </c>
      <c r="N122" s="117"/>
      <c r="O122" s="117"/>
      <c r="P122" s="38">
        <f t="shared" si="74"/>
        <v>-1458</v>
      </c>
      <c r="Q122" s="106"/>
      <c r="R122" s="107"/>
      <c r="S122" s="26">
        <f t="shared" si="75"/>
        <v>-1458</v>
      </c>
      <c r="T122" s="117"/>
      <c r="U122" s="117"/>
      <c r="V122" s="45">
        <f t="shared" si="76"/>
        <v>-1458</v>
      </c>
      <c r="W122" s="143"/>
    </row>
    <row r="123" spans="1:23" ht="15.75" customHeight="1">
      <c r="A123" s="114"/>
      <c r="B123" s="117"/>
      <c r="C123" s="117"/>
      <c r="D123" s="19">
        <f t="shared" si="70"/>
        <v>-1458</v>
      </c>
      <c r="E123" s="106"/>
      <c r="F123" s="107"/>
      <c r="G123" s="26">
        <f t="shared" si="71"/>
        <v>-1458</v>
      </c>
      <c r="H123" s="133"/>
      <c r="I123" s="117"/>
      <c r="J123" s="19">
        <f t="shared" si="72"/>
        <v>-1458</v>
      </c>
      <c r="K123" s="106"/>
      <c r="L123" s="107"/>
      <c r="M123" s="26">
        <f t="shared" si="73"/>
        <v>-1458</v>
      </c>
      <c r="N123" s="117"/>
      <c r="O123" s="117"/>
      <c r="P123" s="38">
        <f t="shared" si="74"/>
        <v>-1458</v>
      </c>
      <c r="Q123" s="106"/>
      <c r="R123" s="107"/>
      <c r="S123" s="26">
        <f t="shared" si="75"/>
        <v>-1458</v>
      </c>
      <c r="T123" s="117"/>
      <c r="U123" s="117"/>
      <c r="V123" s="45">
        <f t="shared" si="76"/>
        <v>-1458</v>
      </c>
      <c r="W123" s="143"/>
    </row>
    <row r="124" spans="1:23" ht="15.75" customHeight="1">
      <c r="A124" s="114"/>
      <c r="B124" s="117"/>
      <c r="C124" s="117"/>
      <c r="D124" s="19">
        <f t="shared" si="70"/>
        <v>-1458</v>
      </c>
      <c r="E124" s="106"/>
      <c r="F124" s="107"/>
      <c r="G124" s="26">
        <f t="shared" si="71"/>
        <v>-1458</v>
      </c>
      <c r="H124" s="133"/>
      <c r="I124" s="117"/>
      <c r="J124" s="19">
        <f t="shared" si="72"/>
        <v>-1458</v>
      </c>
      <c r="K124" s="106"/>
      <c r="L124" s="107"/>
      <c r="M124" s="26">
        <f t="shared" si="73"/>
        <v>-1458</v>
      </c>
      <c r="N124" s="117"/>
      <c r="O124" s="117"/>
      <c r="P124" s="38">
        <f t="shared" si="74"/>
        <v>-1458</v>
      </c>
      <c r="Q124" s="106"/>
      <c r="R124" s="107"/>
      <c r="S124" s="26">
        <f t="shared" si="75"/>
        <v>-1458</v>
      </c>
      <c r="T124" s="136"/>
      <c r="U124" s="136"/>
      <c r="V124" s="45">
        <f t="shared" si="76"/>
        <v>-1458</v>
      </c>
      <c r="W124" s="143"/>
    </row>
    <row r="125" spans="1:23" ht="15.75" customHeight="1">
      <c r="A125" s="114"/>
      <c r="B125" s="117"/>
      <c r="C125" s="117"/>
      <c r="D125" s="19">
        <f t="shared" si="70"/>
        <v>-1458</v>
      </c>
      <c r="E125" s="122"/>
      <c r="F125" s="123"/>
      <c r="G125" s="26">
        <f t="shared" si="71"/>
        <v>-1458</v>
      </c>
      <c r="H125" s="133"/>
      <c r="I125" s="117"/>
      <c r="J125" s="19">
        <f t="shared" si="72"/>
        <v>-1458</v>
      </c>
      <c r="K125" s="122"/>
      <c r="L125" s="123"/>
      <c r="M125" s="26">
        <f t="shared" si="73"/>
        <v>-1458</v>
      </c>
      <c r="N125" s="117"/>
      <c r="O125" s="117"/>
      <c r="P125" s="38">
        <f t="shared" si="74"/>
        <v>-1458</v>
      </c>
      <c r="Q125" s="122"/>
      <c r="R125" s="123"/>
      <c r="S125" s="26">
        <f t="shared" si="75"/>
        <v>-1458</v>
      </c>
      <c r="T125" s="136"/>
      <c r="U125" s="136"/>
      <c r="V125" s="45">
        <f t="shared" si="76"/>
        <v>-1458</v>
      </c>
      <c r="W125" s="143"/>
    </row>
    <row r="126" spans="1:23" ht="15.75" customHeight="1">
      <c r="A126" s="114"/>
      <c r="B126" s="128"/>
      <c r="C126" s="128"/>
      <c r="D126" s="29">
        <f t="shared" si="70"/>
        <v>-1458</v>
      </c>
      <c r="E126" s="122"/>
      <c r="F126" s="123"/>
      <c r="G126" s="39">
        <f t="shared" si="71"/>
        <v>-1458</v>
      </c>
      <c r="H126" s="140"/>
      <c r="I126" s="128"/>
      <c r="J126" s="29">
        <f t="shared" si="72"/>
        <v>-1458</v>
      </c>
      <c r="K126" s="122"/>
      <c r="L126" s="123"/>
      <c r="M126" s="39">
        <f t="shared" si="73"/>
        <v>-1458</v>
      </c>
      <c r="N126" s="128"/>
      <c r="O126" s="128"/>
      <c r="P126" s="40">
        <f t="shared" si="74"/>
        <v>-1458</v>
      </c>
      <c r="Q126" s="122"/>
      <c r="R126" s="123"/>
      <c r="S126" s="39">
        <f t="shared" si="75"/>
        <v>-1458</v>
      </c>
      <c r="T126" s="141"/>
      <c r="U126" s="141"/>
      <c r="V126" s="46">
        <f t="shared" si="76"/>
        <v>-1458</v>
      </c>
      <c r="W126" s="143"/>
    </row>
    <row r="127" spans="1:23" ht="15.75" customHeight="1">
      <c r="A127" s="87"/>
      <c r="B127" s="77">
        <f ca="1">IFERROR(__xludf.DUMMYFUNCTION("DATE(VALUE(LEFT($B$2,4)),VALUE(MID($B$2,6,2)),VALUE(RIGHT($B$2,2)))
+ (VALUE(REGEXEXTRACT(INDIRECT(""A""&amp;ROW()+1),""\d+""))-1)*7
+ INT((COLUMN()-COLUMN($B127))/3)
"),46460)</f>
        <v>46460</v>
      </c>
      <c r="C127" s="81"/>
      <c r="D127" s="82"/>
      <c r="E127" s="77">
        <f ca="1">IFERROR(__xludf.DUMMYFUNCTION("DATE(VALUE(LEFT($B$2,4)),VALUE(MID($B$2,6,2)),VALUE(RIGHT($B$2,2)))
+ (VALUE(REGEXEXTRACT(INDIRECT(""A""&amp;ROW()+1),""\d+""))-1)*7
+ INT((COLUMN()-COLUMN($B127))/3)
"),46461)</f>
        <v>46461</v>
      </c>
      <c r="F127" s="81"/>
      <c r="G127" s="82"/>
      <c r="H127" s="77">
        <f ca="1">IFERROR(__xludf.DUMMYFUNCTION("DATE(VALUE(LEFT($B$2,4)),VALUE(MID($B$2,6,2)),VALUE(RIGHT($B$2,2)))
+ (VALUE(REGEXEXTRACT(INDIRECT(""A""&amp;ROW()+1),""\d+""))-1)*7
+ INT((COLUMN()-COLUMN($B127))/3)
"),46462)</f>
        <v>46462</v>
      </c>
      <c r="I127" s="81"/>
      <c r="J127" s="82"/>
      <c r="K127" s="77">
        <f ca="1">IFERROR(__xludf.DUMMYFUNCTION("DATE(VALUE(LEFT($B$2,4)),VALUE(MID($B$2,6,2)),VALUE(RIGHT($B$2,2)))
+ (VALUE(REGEXEXTRACT(INDIRECT(""A""&amp;ROW()+1),""\d+""))-1)*7
+ INT((COLUMN()-COLUMN($B127))/3)
"),46463)</f>
        <v>46463</v>
      </c>
      <c r="L127" s="81"/>
      <c r="M127" s="82"/>
      <c r="N127" s="77">
        <f ca="1">IFERROR(__xludf.DUMMYFUNCTION("DATE(VALUE(LEFT($B$2,4)),VALUE(MID($B$2,6,2)),VALUE(RIGHT($B$2,2)))
+ (VALUE(REGEXEXTRACT(INDIRECT(""A""&amp;ROW()+1),""\d+""))-1)*7
+ INT((COLUMN()-COLUMN($B127))/3)
"),46464)</f>
        <v>46464</v>
      </c>
      <c r="O127" s="81"/>
      <c r="P127" s="82"/>
      <c r="Q127" s="77">
        <f ca="1">IFERROR(__xludf.DUMMYFUNCTION("DATE(VALUE(LEFT($B$2,4)),VALUE(MID($B$2,6,2)),VALUE(RIGHT($B$2,2)))
+ (VALUE(REGEXEXTRACT(INDIRECT(""A""&amp;ROW()+1),""\d+""))-1)*7
+ INT((COLUMN()-COLUMN($B127))/3)
"),46465)</f>
        <v>46465</v>
      </c>
      <c r="R127" s="81"/>
      <c r="S127" s="82"/>
      <c r="T127" s="77">
        <f ca="1">IFERROR(__xludf.DUMMYFUNCTION("DATE(VALUE(LEFT($B$2,4)),VALUE(MID($B$2,6,2)),VALUE(RIGHT($B$2,2)))
+ (VALUE(REGEXEXTRACT(INDIRECT(""A""&amp;ROW()+1),""\d+""))-1)*7
+ INT((COLUMN()-COLUMN($B127))/3)
"),46466)</f>
        <v>46466</v>
      </c>
      <c r="U127" s="81"/>
      <c r="V127" s="82"/>
      <c r="W127" s="143"/>
    </row>
    <row r="128" spans="1:23" ht="15.75" customHeight="1">
      <c r="A128" s="51" t="s">
        <v>147</v>
      </c>
      <c r="B128" s="112"/>
      <c r="C128" s="111"/>
      <c r="D128" s="17">
        <f>V126+C128</f>
        <v>-1458</v>
      </c>
      <c r="E128" s="109"/>
      <c r="F128" s="109"/>
      <c r="G128" s="54">
        <f>D138+F128</f>
        <v>-1458</v>
      </c>
      <c r="H128" s="110"/>
      <c r="I128" s="111"/>
      <c r="J128" s="17">
        <f>G138+I128</f>
        <v>-1458</v>
      </c>
      <c r="K128" s="109"/>
      <c r="L128" s="109"/>
      <c r="M128" s="35">
        <f>J138+L128</f>
        <v>-1458</v>
      </c>
      <c r="N128" s="112"/>
      <c r="O128" s="111"/>
      <c r="P128" s="17">
        <f>M138+O128</f>
        <v>-1458</v>
      </c>
      <c r="Q128" s="109"/>
      <c r="R128" s="109"/>
      <c r="S128" s="35">
        <f>P138+R128</f>
        <v>-1458</v>
      </c>
      <c r="T128" s="112"/>
      <c r="U128" s="111"/>
      <c r="V128" s="48">
        <f>S138+U128</f>
        <v>-1458</v>
      </c>
      <c r="W128" s="143"/>
    </row>
    <row r="129" spans="1:23" ht="15.75" customHeight="1">
      <c r="A129" s="114"/>
      <c r="B129" s="106"/>
      <c r="C129" s="107"/>
      <c r="D129" s="26">
        <f t="shared" ref="D129:D138" si="77">D128+C129</f>
        <v>-1458</v>
      </c>
      <c r="E129" s="117"/>
      <c r="F129" s="117"/>
      <c r="G129" s="19">
        <f t="shared" ref="G129:G138" si="78">G128+F129</f>
        <v>-1458</v>
      </c>
      <c r="H129" s="106"/>
      <c r="I129" s="107"/>
      <c r="J129" s="26">
        <f t="shared" ref="J129:J138" si="79">J128+I129</f>
        <v>-1458</v>
      </c>
      <c r="K129" s="117"/>
      <c r="L129" s="117"/>
      <c r="M129" s="38">
        <f t="shared" ref="M129:M138" si="80">M128+L129</f>
        <v>-1458</v>
      </c>
      <c r="N129" s="106"/>
      <c r="O129" s="107"/>
      <c r="P129" s="26">
        <f t="shared" ref="P129:P138" si="81">P128+O129</f>
        <v>-1458</v>
      </c>
      <c r="Q129" s="117"/>
      <c r="R129" s="117"/>
      <c r="S129" s="38">
        <f t="shared" ref="S129:S138" si="82">S128+R129</f>
        <v>-1458</v>
      </c>
      <c r="T129" s="106"/>
      <c r="U129" s="107"/>
      <c r="V129" s="20">
        <f t="shared" ref="V129:V138" si="83">V128+U129</f>
        <v>-1458</v>
      </c>
      <c r="W129" s="143"/>
    </row>
    <row r="130" spans="1:23" ht="15.75" customHeight="1">
      <c r="A130" s="114"/>
      <c r="B130" s="106"/>
      <c r="C130" s="107"/>
      <c r="D130" s="26">
        <f t="shared" si="77"/>
        <v>-1458</v>
      </c>
      <c r="E130" s="117"/>
      <c r="F130" s="117"/>
      <c r="G130" s="19">
        <f t="shared" si="78"/>
        <v>-1458</v>
      </c>
      <c r="H130" s="106"/>
      <c r="I130" s="107"/>
      <c r="J130" s="26">
        <f t="shared" si="79"/>
        <v>-1458</v>
      </c>
      <c r="K130" s="117"/>
      <c r="L130" s="117"/>
      <c r="M130" s="38">
        <f t="shared" si="80"/>
        <v>-1458</v>
      </c>
      <c r="N130" s="106"/>
      <c r="O130" s="107"/>
      <c r="P130" s="26">
        <f t="shared" si="81"/>
        <v>-1458</v>
      </c>
      <c r="Q130" s="117"/>
      <c r="R130" s="117"/>
      <c r="S130" s="38">
        <f t="shared" si="82"/>
        <v>-1458</v>
      </c>
      <c r="T130" s="106"/>
      <c r="U130" s="116"/>
      <c r="V130" s="20">
        <f t="shared" si="83"/>
        <v>-1458</v>
      </c>
      <c r="W130" s="143"/>
    </row>
    <row r="131" spans="1:23" ht="15.75" customHeight="1">
      <c r="A131" s="114"/>
      <c r="B131" s="106"/>
      <c r="C131" s="107"/>
      <c r="D131" s="26">
        <f t="shared" si="77"/>
        <v>-1458</v>
      </c>
      <c r="E131" s="117"/>
      <c r="F131" s="117"/>
      <c r="G131" s="19">
        <f t="shared" si="78"/>
        <v>-1458</v>
      </c>
      <c r="H131" s="106"/>
      <c r="I131" s="107"/>
      <c r="J131" s="26">
        <f t="shared" si="79"/>
        <v>-1458</v>
      </c>
      <c r="K131" s="117"/>
      <c r="L131" s="117"/>
      <c r="M131" s="38">
        <f t="shared" si="80"/>
        <v>-1458</v>
      </c>
      <c r="N131" s="106"/>
      <c r="O131" s="107"/>
      <c r="P131" s="26">
        <f t="shared" si="81"/>
        <v>-1458</v>
      </c>
      <c r="Q131" s="117"/>
      <c r="R131" s="117"/>
      <c r="S131" s="38">
        <f t="shared" si="82"/>
        <v>-1458</v>
      </c>
      <c r="T131" s="106"/>
      <c r="U131" s="116"/>
      <c r="V131" s="20">
        <f t="shared" si="83"/>
        <v>-1458</v>
      </c>
      <c r="W131" s="143"/>
    </row>
    <row r="132" spans="1:23" ht="15.75" customHeight="1">
      <c r="A132" s="114"/>
      <c r="B132" s="106"/>
      <c r="C132" s="107"/>
      <c r="D132" s="26">
        <f t="shared" si="77"/>
        <v>-1458</v>
      </c>
      <c r="E132" s="117"/>
      <c r="F132" s="117"/>
      <c r="G132" s="19">
        <f t="shared" si="78"/>
        <v>-1458</v>
      </c>
      <c r="H132" s="106"/>
      <c r="I132" s="107"/>
      <c r="J132" s="26">
        <f t="shared" si="79"/>
        <v>-1458</v>
      </c>
      <c r="K132" s="117"/>
      <c r="L132" s="117"/>
      <c r="M132" s="38">
        <f t="shared" si="80"/>
        <v>-1458</v>
      </c>
      <c r="N132" s="106"/>
      <c r="O132" s="107"/>
      <c r="P132" s="26">
        <f t="shared" si="81"/>
        <v>-1458</v>
      </c>
      <c r="Q132" s="117"/>
      <c r="R132" s="117"/>
      <c r="S132" s="38">
        <f t="shared" si="82"/>
        <v>-1458</v>
      </c>
      <c r="T132" s="106"/>
      <c r="U132" s="116"/>
      <c r="V132" s="20">
        <f t="shared" si="83"/>
        <v>-1458</v>
      </c>
      <c r="W132" s="143"/>
    </row>
    <row r="133" spans="1:23" ht="15.75" customHeight="1">
      <c r="A133" s="114"/>
      <c r="B133" s="106"/>
      <c r="C133" s="107"/>
      <c r="D133" s="26">
        <f t="shared" si="77"/>
        <v>-1458</v>
      </c>
      <c r="E133" s="117"/>
      <c r="F133" s="117"/>
      <c r="G133" s="19">
        <f t="shared" si="78"/>
        <v>-1458</v>
      </c>
      <c r="H133" s="106"/>
      <c r="I133" s="107"/>
      <c r="J133" s="26">
        <f t="shared" si="79"/>
        <v>-1458</v>
      </c>
      <c r="K133" s="117"/>
      <c r="L133" s="117"/>
      <c r="M133" s="38">
        <f t="shared" si="80"/>
        <v>-1458</v>
      </c>
      <c r="N133" s="106"/>
      <c r="O133" s="107"/>
      <c r="P133" s="26">
        <f t="shared" si="81"/>
        <v>-1458</v>
      </c>
      <c r="Q133" s="117"/>
      <c r="R133" s="117"/>
      <c r="S133" s="38">
        <f t="shared" si="82"/>
        <v>-1458</v>
      </c>
      <c r="T133" s="106"/>
      <c r="U133" s="116"/>
      <c r="V133" s="20">
        <f t="shared" si="83"/>
        <v>-1458</v>
      </c>
      <c r="W133" s="143"/>
    </row>
    <row r="134" spans="1:23" ht="15.75" customHeight="1">
      <c r="A134" s="114"/>
      <c r="B134" s="106"/>
      <c r="C134" s="107"/>
      <c r="D134" s="26">
        <f t="shared" si="77"/>
        <v>-1458</v>
      </c>
      <c r="E134" s="117"/>
      <c r="F134" s="117"/>
      <c r="G134" s="19">
        <f t="shared" si="78"/>
        <v>-1458</v>
      </c>
      <c r="H134" s="106"/>
      <c r="I134" s="107"/>
      <c r="J134" s="26">
        <f t="shared" si="79"/>
        <v>-1458</v>
      </c>
      <c r="K134" s="117"/>
      <c r="L134" s="117"/>
      <c r="M134" s="38">
        <f t="shared" si="80"/>
        <v>-1458</v>
      </c>
      <c r="N134" s="106"/>
      <c r="O134" s="107"/>
      <c r="P134" s="26">
        <f t="shared" si="81"/>
        <v>-1458</v>
      </c>
      <c r="Q134" s="117"/>
      <c r="R134" s="117"/>
      <c r="S134" s="38">
        <f t="shared" si="82"/>
        <v>-1458</v>
      </c>
      <c r="T134" s="106"/>
      <c r="U134" s="116"/>
      <c r="V134" s="20">
        <f t="shared" si="83"/>
        <v>-1458</v>
      </c>
      <c r="W134" s="143"/>
    </row>
    <row r="135" spans="1:23" ht="15.75" customHeight="1">
      <c r="A135" s="114"/>
      <c r="B135" s="106"/>
      <c r="C135" s="107"/>
      <c r="D135" s="26">
        <f t="shared" si="77"/>
        <v>-1458</v>
      </c>
      <c r="E135" s="117"/>
      <c r="F135" s="117"/>
      <c r="G135" s="19">
        <f t="shared" si="78"/>
        <v>-1458</v>
      </c>
      <c r="H135" s="106"/>
      <c r="I135" s="107"/>
      <c r="J135" s="26">
        <f t="shared" si="79"/>
        <v>-1458</v>
      </c>
      <c r="K135" s="117"/>
      <c r="L135" s="117"/>
      <c r="M135" s="38">
        <f t="shared" si="80"/>
        <v>-1458</v>
      </c>
      <c r="N135" s="106"/>
      <c r="O135" s="107"/>
      <c r="P135" s="26">
        <f t="shared" si="81"/>
        <v>-1458</v>
      </c>
      <c r="Q135" s="117"/>
      <c r="R135" s="117"/>
      <c r="S135" s="38">
        <f t="shared" si="82"/>
        <v>-1458</v>
      </c>
      <c r="T135" s="106"/>
      <c r="U135" s="116"/>
      <c r="V135" s="20">
        <f t="shared" si="83"/>
        <v>-1458</v>
      </c>
      <c r="W135" s="143"/>
    </row>
    <row r="136" spans="1:23" ht="15.75" customHeight="1">
      <c r="A136" s="114"/>
      <c r="B136" s="122"/>
      <c r="C136" s="123"/>
      <c r="D136" s="26">
        <f t="shared" si="77"/>
        <v>-1458</v>
      </c>
      <c r="E136" s="117"/>
      <c r="F136" s="117"/>
      <c r="G136" s="19">
        <f t="shared" si="78"/>
        <v>-1458</v>
      </c>
      <c r="H136" s="122"/>
      <c r="I136" s="123"/>
      <c r="J136" s="26">
        <f t="shared" si="79"/>
        <v>-1458</v>
      </c>
      <c r="K136" s="117"/>
      <c r="L136" s="117"/>
      <c r="M136" s="38">
        <f t="shared" si="80"/>
        <v>-1458</v>
      </c>
      <c r="N136" s="122"/>
      <c r="O136" s="123"/>
      <c r="P136" s="26">
        <f t="shared" si="81"/>
        <v>-1458</v>
      </c>
      <c r="Q136" s="117"/>
      <c r="R136" s="117"/>
      <c r="S136" s="38">
        <f t="shared" si="82"/>
        <v>-1458</v>
      </c>
      <c r="T136" s="106"/>
      <c r="U136" s="116"/>
      <c r="V136" s="20">
        <f t="shared" si="83"/>
        <v>-1458</v>
      </c>
      <c r="W136" s="143"/>
    </row>
    <row r="137" spans="1:23" ht="15.75" customHeight="1">
      <c r="A137" s="114"/>
      <c r="B137" s="122"/>
      <c r="C137" s="123"/>
      <c r="D137" s="26">
        <f t="shared" si="77"/>
        <v>-1458</v>
      </c>
      <c r="E137" s="117"/>
      <c r="F137" s="117"/>
      <c r="G137" s="19">
        <f t="shared" si="78"/>
        <v>-1458</v>
      </c>
      <c r="H137" s="122"/>
      <c r="I137" s="123"/>
      <c r="J137" s="26">
        <f t="shared" si="79"/>
        <v>-1458</v>
      </c>
      <c r="K137" s="117"/>
      <c r="L137" s="117"/>
      <c r="M137" s="38">
        <f t="shared" si="80"/>
        <v>-1458</v>
      </c>
      <c r="N137" s="122"/>
      <c r="O137" s="123"/>
      <c r="P137" s="26">
        <f t="shared" si="81"/>
        <v>-1458</v>
      </c>
      <c r="Q137" s="117"/>
      <c r="R137" s="117"/>
      <c r="S137" s="38">
        <f t="shared" si="82"/>
        <v>-1458</v>
      </c>
      <c r="T137" s="122"/>
      <c r="U137" s="124"/>
      <c r="V137" s="20">
        <f t="shared" si="83"/>
        <v>-1458</v>
      </c>
      <c r="W137" s="143"/>
    </row>
    <row r="138" spans="1:23" ht="15.75" customHeight="1">
      <c r="A138" s="114"/>
      <c r="B138" s="122"/>
      <c r="C138" s="123"/>
      <c r="D138" s="39">
        <f t="shared" si="77"/>
        <v>-1458</v>
      </c>
      <c r="E138" s="128"/>
      <c r="F138" s="128"/>
      <c r="G138" s="29">
        <f t="shared" si="78"/>
        <v>-1458</v>
      </c>
      <c r="H138" s="122"/>
      <c r="I138" s="123"/>
      <c r="J138" s="39">
        <f t="shared" si="79"/>
        <v>-1458</v>
      </c>
      <c r="K138" s="128"/>
      <c r="L138" s="128"/>
      <c r="M138" s="40">
        <f t="shared" si="80"/>
        <v>-1458</v>
      </c>
      <c r="N138" s="122"/>
      <c r="O138" s="123"/>
      <c r="P138" s="39">
        <f t="shared" si="81"/>
        <v>-1458</v>
      </c>
      <c r="Q138" s="128"/>
      <c r="R138" s="128"/>
      <c r="S138" s="40">
        <f t="shared" si="82"/>
        <v>-1458</v>
      </c>
      <c r="T138" s="122"/>
      <c r="U138" s="123"/>
      <c r="V138" s="49">
        <f t="shared" si="83"/>
        <v>-1458</v>
      </c>
      <c r="W138" s="143"/>
    </row>
    <row r="139" spans="1:23" ht="15.75" customHeight="1">
      <c r="A139" s="87"/>
      <c r="B139" s="77">
        <f ca="1">IFERROR(__xludf.DUMMYFUNCTION("DATE(VALUE(LEFT($B$2,4)),VALUE(MID($B$2,6,2)),VALUE(RIGHT($B$2,2)))
+ (VALUE(REGEXEXTRACT(INDIRECT(""A""&amp;ROW()+1),""\d+""))-1)*7
+ INT((COLUMN()-COLUMN($B139))/3)
"),46467)</f>
        <v>46467</v>
      </c>
      <c r="C139" s="81"/>
      <c r="D139" s="82"/>
      <c r="E139" s="77">
        <f ca="1">IFERROR(__xludf.DUMMYFUNCTION("DATE(VALUE(LEFT($B$2,4)),VALUE(MID($B$2,6,2)),VALUE(RIGHT($B$2,2)))
+ (VALUE(REGEXEXTRACT(INDIRECT(""A""&amp;ROW()+1),""\d+""))-1)*7
+ INT((COLUMN()-COLUMN($B139))/3)
"),46468)</f>
        <v>46468</v>
      </c>
      <c r="F139" s="81"/>
      <c r="G139" s="82"/>
      <c r="H139" s="77">
        <f ca="1">IFERROR(__xludf.DUMMYFUNCTION("DATE(VALUE(LEFT($B$2,4)),VALUE(MID($B$2,6,2)),VALUE(RIGHT($B$2,2)))
+ (VALUE(REGEXEXTRACT(INDIRECT(""A""&amp;ROW()+1),""\d+""))-1)*7
+ INT((COLUMN()-COLUMN($B139))/3)
"),46469)</f>
        <v>46469</v>
      </c>
      <c r="I139" s="81"/>
      <c r="J139" s="82"/>
      <c r="K139" s="77">
        <f ca="1">IFERROR(__xludf.DUMMYFUNCTION("DATE(VALUE(LEFT($B$2,4)),VALUE(MID($B$2,6,2)),VALUE(RIGHT($B$2,2)))
+ (VALUE(REGEXEXTRACT(INDIRECT(""A""&amp;ROW()+1),""\d+""))-1)*7
+ INT((COLUMN()-COLUMN($B139))/3)
"),46470)</f>
        <v>46470</v>
      </c>
      <c r="L139" s="81"/>
      <c r="M139" s="82"/>
      <c r="N139" s="77">
        <f ca="1">IFERROR(__xludf.DUMMYFUNCTION("DATE(VALUE(LEFT($B$2,4)),VALUE(MID($B$2,6,2)),VALUE(RIGHT($B$2,2)))
+ (VALUE(REGEXEXTRACT(INDIRECT(""A""&amp;ROW()+1),""\d+""))-1)*7
+ INT((COLUMN()-COLUMN($B139))/3)
"),46471)</f>
        <v>46471</v>
      </c>
      <c r="O139" s="81"/>
      <c r="P139" s="82"/>
      <c r="Q139" s="77">
        <f ca="1">IFERROR(__xludf.DUMMYFUNCTION("DATE(VALUE(LEFT($B$2,4)),VALUE(MID($B$2,6,2)),VALUE(RIGHT($B$2,2)))
+ (VALUE(REGEXEXTRACT(INDIRECT(""A""&amp;ROW()+1),""\d+""))-1)*7
+ INT((COLUMN()-COLUMN($B139))/3)
"),46472)</f>
        <v>46472</v>
      </c>
      <c r="R139" s="81"/>
      <c r="S139" s="82"/>
      <c r="T139" s="77">
        <f ca="1">IFERROR(__xludf.DUMMYFUNCTION("DATE(VALUE(LEFT($B$2,4)),VALUE(MID($B$2,6,2)),VALUE(RIGHT($B$2,2)))
+ (VALUE(REGEXEXTRACT(INDIRECT(""A""&amp;ROW()+1),""\d+""))-1)*7
+ INT((COLUMN()-COLUMN($B139))/3)
"),46473)</f>
        <v>46473</v>
      </c>
      <c r="U139" s="81"/>
      <c r="V139" s="82"/>
      <c r="W139" s="52" t="s">
        <v>20</v>
      </c>
    </row>
    <row r="140" spans="1:23" ht="15.75" customHeight="1">
      <c r="A140" s="47" t="s">
        <v>148</v>
      </c>
      <c r="B140" s="109"/>
      <c r="C140" s="109"/>
      <c r="D140" s="50">
        <f>V138+C140</f>
        <v>-1458</v>
      </c>
      <c r="E140" s="112"/>
      <c r="F140" s="111"/>
      <c r="G140" s="17">
        <f>D150+F140</f>
        <v>-1458</v>
      </c>
      <c r="H140" s="132"/>
      <c r="I140" s="109"/>
      <c r="J140" s="42">
        <f>G150+I140</f>
        <v>-1458</v>
      </c>
      <c r="K140" s="110"/>
      <c r="L140" s="111"/>
      <c r="M140" s="18">
        <f>J150+L140</f>
        <v>-1458</v>
      </c>
      <c r="N140" s="113"/>
      <c r="O140" s="109"/>
      <c r="P140" s="35">
        <f>M150+O140</f>
        <v>-1458</v>
      </c>
      <c r="Q140" s="112"/>
      <c r="R140" s="111"/>
      <c r="S140" s="18">
        <f>P150+R140</f>
        <v>-1458</v>
      </c>
      <c r="T140" s="113"/>
      <c r="U140" s="109"/>
      <c r="V140" s="50">
        <f>S150+U140</f>
        <v>-1458</v>
      </c>
      <c r="W140" s="172"/>
    </row>
    <row r="141" spans="1:23" ht="15.75" customHeight="1">
      <c r="A141" s="114"/>
      <c r="B141" s="117"/>
      <c r="C141" s="117"/>
      <c r="D141" s="45">
        <f t="shared" ref="D141:D150" si="84">D140+C141</f>
        <v>-1458</v>
      </c>
      <c r="E141" s="106"/>
      <c r="F141" s="116"/>
      <c r="G141" s="26">
        <f t="shared" ref="G141:G150" si="85">G140+F141</f>
        <v>-1458</v>
      </c>
      <c r="H141" s="133"/>
      <c r="I141" s="117"/>
      <c r="J141" s="19">
        <f t="shared" ref="J141:J150" si="86">J140+I141</f>
        <v>-1458</v>
      </c>
      <c r="K141" s="116"/>
      <c r="L141" s="107"/>
      <c r="M141" s="26">
        <f t="shared" ref="M141:M150" si="87">M140+L141</f>
        <v>-1458</v>
      </c>
      <c r="N141" s="136"/>
      <c r="O141" s="136"/>
      <c r="P141" s="38">
        <f t="shared" ref="P141:P150" si="88">P140+O141</f>
        <v>-1458</v>
      </c>
      <c r="Q141" s="106"/>
      <c r="R141" s="107"/>
      <c r="S141" s="26">
        <f t="shared" ref="S141:S150" si="89">S140+R141</f>
        <v>-1458</v>
      </c>
      <c r="T141" s="136"/>
      <c r="U141" s="136"/>
      <c r="V141" s="45">
        <f t="shared" ref="V141:V150" si="90">V140+U141</f>
        <v>-1458</v>
      </c>
      <c r="W141" s="143"/>
    </row>
    <row r="142" spans="1:23" ht="15.75" customHeight="1">
      <c r="A142" s="114"/>
      <c r="B142" s="117"/>
      <c r="C142" s="117"/>
      <c r="D142" s="45">
        <f t="shared" si="84"/>
        <v>-1458</v>
      </c>
      <c r="E142" s="106"/>
      <c r="F142" s="116"/>
      <c r="G142" s="26">
        <f t="shared" si="85"/>
        <v>-1458</v>
      </c>
      <c r="H142" s="133"/>
      <c r="I142" s="117"/>
      <c r="J142" s="19">
        <f t="shared" si="86"/>
        <v>-1458</v>
      </c>
      <c r="K142" s="116"/>
      <c r="L142" s="107"/>
      <c r="M142" s="26">
        <f t="shared" si="87"/>
        <v>-1458</v>
      </c>
      <c r="N142" s="117"/>
      <c r="O142" s="117"/>
      <c r="P142" s="38">
        <f t="shared" si="88"/>
        <v>-1458</v>
      </c>
      <c r="Q142" s="106"/>
      <c r="R142" s="107"/>
      <c r="S142" s="26">
        <f t="shared" si="89"/>
        <v>-1458</v>
      </c>
      <c r="T142" s="136"/>
      <c r="U142" s="136"/>
      <c r="V142" s="45">
        <f t="shared" si="90"/>
        <v>-1458</v>
      </c>
      <c r="W142" s="143"/>
    </row>
    <row r="143" spans="1:23" ht="15.75" customHeight="1">
      <c r="A143" s="114"/>
      <c r="B143" s="117"/>
      <c r="C143" s="117"/>
      <c r="D143" s="45">
        <f t="shared" si="84"/>
        <v>-1458</v>
      </c>
      <c r="E143" s="106"/>
      <c r="F143" s="116"/>
      <c r="G143" s="26">
        <f t="shared" si="85"/>
        <v>-1458</v>
      </c>
      <c r="H143" s="133"/>
      <c r="I143" s="117"/>
      <c r="J143" s="19">
        <f t="shared" si="86"/>
        <v>-1458</v>
      </c>
      <c r="K143" s="116"/>
      <c r="L143" s="107"/>
      <c r="M143" s="26">
        <f t="shared" si="87"/>
        <v>-1458</v>
      </c>
      <c r="N143" s="117"/>
      <c r="O143" s="117"/>
      <c r="P143" s="38">
        <f t="shared" si="88"/>
        <v>-1458</v>
      </c>
      <c r="Q143" s="106"/>
      <c r="R143" s="116"/>
      <c r="S143" s="26">
        <f t="shared" si="89"/>
        <v>-1458</v>
      </c>
      <c r="T143" s="136"/>
      <c r="U143" s="136"/>
      <c r="V143" s="45">
        <f t="shared" si="90"/>
        <v>-1458</v>
      </c>
      <c r="W143" s="143"/>
    </row>
    <row r="144" spans="1:23" ht="15.75" customHeight="1">
      <c r="A144" s="114"/>
      <c r="B144" s="117"/>
      <c r="C144" s="117"/>
      <c r="D144" s="45">
        <f t="shared" si="84"/>
        <v>-1458</v>
      </c>
      <c r="E144" s="106"/>
      <c r="F144" s="116"/>
      <c r="G144" s="26">
        <f t="shared" si="85"/>
        <v>-1458</v>
      </c>
      <c r="H144" s="133"/>
      <c r="I144" s="117"/>
      <c r="J144" s="19">
        <f t="shared" si="86"/>
        <v>-1458</v>
      </c>
      <c r="K144" s="116"/>
      <c r="L144" s="107"/>
      <c r="M144" s="26">
        <f t="shared" si="87"/>
        <v>-1458</v>
      </c>
      <c r="N144" s="117"/>
      <c r="O144" s="117"/>
      <c r="P144" s="38">
        <f t="shared" si="88"/>
        <v>-1458</v>
      </c>
      <c r="Q144" s="106"/>
      <c r="R144" s="116"/>
      <c r="S144" s="26">
        <f t="shared" si="89"/>
        <v>-1458</v>
      </c>
      <c r="T144" s="136"/>
      <c r="U144" s="136"/>
      <c r="V144" s="45">
        <f t="shared" si="90"/>
        <v>-1458</v>
      </c>
      <c r="W144" s="143"/>
    </row>
    <row r="145" spans="1:23" ht="15.75" customHeight="1">
      <c r="A145" s="114"/>
      <c r="B145" s="117"/>
      <c r="C145" s="117"/>
      <c r="D145" s="45">
        <f t="shared" si="84"/>
        <v>-1458</v>
      </c>
      <c r="E145" s="106"/>
      <c r="F145" s="116"/>
      <c r="G145" s="26">
        <f t="shared" si="85"/>
        <v>-1458</v>
      </c>
      <c r="H145" s="133"/>
      <c r="I145" s="117"/>
      <c r="J145" s="19">
        <f t="shared" si="86"/>
        <v>-1458</v>
      </c>
      <c r="K145" s="116"/>
      <c r="L145" s="107"/>
      <c r="M145" s="26">
        <f t="shared" si="87"/>
        <v>-1458</v>
      </c>
      <c r="N145" s="117"/>
      <c r="O145" s="117"/>
      <c r="P145" s="38">
        <f t="shared" si="88"/>
        <v>-1458</v>
      </c>
      <c r="Q145" s="106"/>
      <c r="R145" s="116"/>
      <c r="S145" s="26">
        <f t="shared" si="89"/>
        <v>-1458</v>
      </c>
      <c r="T145" s="136"/>
      <c r="U145" s="136"/>
      <c r="V145" s="45">
        <f t="shared" si="90"/>
        <v>-1458</v>
      </c>
      <c r="W145" s="143"/>
    </row>
    <row r="146" spans="1:23" ht="15.75" customHeight="1">
      <c r="A146" s="114"/>
      <c r="B146" s="117"/>
      <c r="C146" s="117"/>
      <c r="D146" s="45">
        <f t="shared" si="84"/>
        <v>-1458</v>
      </c>
      <c r="E146" s="106"/>
      <c r="F146" s="107"/>
      <c r="G146" s="26">
        <f t="shared" si="85"/>
        <v>-1458</v>
      </c>
      <c r="H146" s="133"/>
      <c r="I146" s="117"/>
      <c r="J146" s="19">
        <f t="shared" si="86"/>
        <v>-1458</v>
      </c>
      <c r="K146" s="116"/>
      <c r="L146" s="107"/>
      <c r="M146" s="26">
        <f t="shared" si="87"/>
        <v>-1458</v>
      </c>
      <c r="N146" s="117"/>
      <c r="O146" s="117"/>
      <c r="P146" s="38">
        <f t="shared" si="88"/>
        <v>-1458</v>
      </c>
      <c r="Q146" s="106"/>
      <c r="R146" s="107"/>
      <c r="S146" s="26">
        <f t="shared" si="89"/>
        <v>-1458</v>
      </c>
      <c r="T146" s="136"/>
      <c r="U146" s="136"/>
      <c r="V146" s="45">
        <f t="shared" si="90"/>
        <v>-1458</v>
      </c>
      <c r="W146" s="143"/>
    </row>
    <row r="147" spans="1:23" ht="15.75" customHeight="1">
      <c r="A147" s="114"/>
      <c r="B147" s="117"/>
      <c r="C147" s="117"/>
      <c r="D147" s="45">
        <f t="shared" si="84"/>
        <v>-1458</v>
      </c>
      <c r="E147" s="106"/>
      <c r="F147" s="107"/>
      <c r="G147" s="26">
        <f t="shared" si="85"/>
        <v>-1458</v>
      </c>
      <c r="H147" s="133"/>
      <c r="I147" s="117"/>
      <c r="J147" s="19">
        <f t="shared" si="86"/>
        <v>-1458</v>
      </c>
      <c r="K147" s="116"/>
      <c r="L147" s="107"/>
      <c r="M147" s="26">
        <f t="shared" si="87"/>
        <v>-1458</v>
      </c>
      <c r="N147" s="117"/>
      <c r="O147" s="117"/>
      <c r="P147" s="38">
        <f t="shared" si="88"/>
        <v>-1458</v>
      </c>
      <c r="Q147" s="106"/>
      <c r="R147" s="107"/>
      <c r="S147" s="26">
        <f t="shared" si="89"/>
        <v>-1458</v>
      </c>
      <c r="T147" s="136"/>
      <c r="U147" s="136"/>
      <c r="V147" s="45">
        <f t="shared" si="90"/>
        <v>-1458</v>
      </c>
      <c r="W147" s="143"/>
    </row>
    <row r="148" spans="1:23" ht="15.75" customHeight="1">
      <c r="A148" s="114"/>
      <c r="B148" s="117"/>
      <c r="C148" s="117"/>
      <c r="D148" s="45">
        <f t="shared" si="84"/>
        <v>-1458</v>
      </c>
      <c r="E148" s="106"/>
      <c r="F148" s="107"/>
      <c r="G148" s="26">
        <f t="shared" si="85"/>
        <v>-1458</v>
      </c>
      <c r="H148" s="133"/>
      <c r="I148" s="117"/>
      <c r="J148" s="19">
        <f t="shared" si="86"/>
        <v>-1458</v>
      </c>
      <c r="K148" s="116"/>
      <c r="L148" s="107"/>
      <c r="M148" s="26">
        <f t="shared" si="87"/>
        <v>-1458</v>
      </c>
      <c r="N148" s="117"/>
      <c r="O148" s="117"/>
      <c r="P148" s="38">
        <f t="shared" si="88"/>
        <v>-1458</v>
      </c>
      <c r="Q148" s="106"/>
      <c r="R148" s="107"/>
      <c r="S148" s="26">
        <f t="shared" si="89"/>
        <v>-1458</v>
      </c>
      <c r="T148" s="136"/>
      <c r="U148" s="136"/>
      <c r="V148" s="45">
        <f t="shared" si="90"/>
        <v>-1458</v>
      </c>
      <c r="W148" s="143"/>
    </row>
    <row r="149" spans="1:23" ht="15.75" customHeight="1">
      <c r="A149" s="114"/>
      <c r="B149" s="117"/>
      <c r="C149" s="117"/>
      <c r="D149" s="45">
        <f t="shared" si="84"/>
        <v>-1458</v>
      </c>
      <c r="E149" s="122"/>
      <c r="F149" s="123"/>
      <c r="G149" s="26">
        <f t="shared" si="85"/>
        <v>-1458</v>
      </c>
      <c r="H149" s="133"/>
      <c r="I149" s="117"/>
      <c r="J149" s="19">
        <f t="shared" si="86"/>
        <v>-1458</v>
      </c>
      <c r="K149" s="124"/>
      <c r="L149" s="123"/>
      <c r="M149" s="26">
        <f t="shared" si="87"/>
        <v>-1458</v>
      </c>
      <c r="N149" s="117"/>
      <c r="O149" s="117"/>
      <c r="P149" s="38">
        <f t="shared" si="88"/>
        <v>-1458</v>
      </c>
      <c r="Q149" s="122"/>
      <c r="R149" s="123"/>
      <c r="S149" s="26">
        <f t="shared" si="89"/>
        <v>-1458</v>
      </c>
      <c r="T149" s="136"/>
      <c r="U149" s="136"/>
      <c r="V149" s="45">
        <f t="shared" si="90"/>
        <v>-1458</v>
      </c>
      <c r="W149" s="143"/>
    </row>
    <row r="150" spans="1:23" ht="15.75" customHeight="1">
      <c r="A150" s="114"/>
      <c r="B150" s="128"/>
      <c r="C150" s="128"/>
      <c r="D150" s="46">
        <f t="shared" si="84"/>
        <v>-1458</v>
      </c>
      <c r="E150" s="122"/>
      <c r="F150" s="123"/>
      <c r="G150" s="39">
        <f t="shared" si="85"/>
        <v>-1458</v>
      </c>
      <c r="H150" s="140"/>
      <c r="I150" s="128"/>
      <c r="J150" s="29">
        <f t="shared" si="86"/>
        <v>-1458</v>
      </c>
      <c r="K150" s="124"/>
      <c r="L150" s="123"/>
      <c r="M150" s="39">
        <f t="shared" si="87"/>
        <v>-1458</v>
      </c>
      <c r="N150" s="128"/>
      <c r="O150" s="128"/>
      <c r="P150" s="40">
        <f t="shared" si="88"/>
        <v>-1458</v>
      </c>
      <c r="Q150" s="122"/>
      <c r="R150" s="123"/>
      <c r="S150" s="39">
        <f t="shared" si="89"/>
        <v>-1458</v>
      </c>
      <c r="T150" s="141"/>
      <c r="U150" s="141"/>
      <c r="V150" s="46">
        <f t="shared" si="90"/>
        <v>-1458</v>
      </c>
      <c r="W150" s="143"/>
    </row>
    <row r="151" spans="1:23" ht="15.75" customHeight="1">
      <c r="A151" s="87"/>
      <c r="B151" s="77">
        <f ca="1">IFERROR(__xludf.DUMMYFUNCTION("DATE(VALUE(LEFT($B$2,4)),VALUE(MID($B$2,6,2)),VALUE(RIGHT($B$2,2)))
+ (VALUE(REGEXEXTRACT(INDIRECT(""A""&amp;ROW()+1),""\d+""))-1)*7
+ INT((COLUMN()-COLUMN($B151))/3)
"),46474)</f>
        <v>46474</v>
      </c>
      <c r="C151" s="81"/>
      <c r="D151" s="82"/>
      <c r="E151" s="77">
        <f ca="1">IFERROR(__xludf.DUMMYFUNCTION("DATE(VALUE(LEFT($B$2,4)),VALUE(MID($B$2,6,2)),VALUE(RIGHT($B$2,2)))
+ (VALUE(REGEXEXTRACT(INDIRECT(""A""&amp;ROW()+1),""\d+""))-1)*7
+ INT((COLUMN()-COLUMN($B151))/3)
"),46475)</f>
        <v>46475</v>
      </c>
      <c r="F151" s="81"/>
      <c r="G151" s="82"/>
      <c r="H151" s="77">
        <f ca="1">IFERROR(__xludf.DUMMYFUNCTION("DATE(VALUE(LEFT($B$2,4)),VALUE(MID($B$2,6,2)),VALUE(RIGHT($B$2,2)))
+ (VALUE(REGEXEXTRACT(INDIRECT(""A""&amp;ROW()+1),""\d+""))-1)*7
+ INT((COLUMN()-COLUMN($B151))/3)
"),46476)</f>
        <v>46476</v>
      </c>
      <c r="I151" s="81"/>
      <c r="J151" s="82"/>
      <c r="K151" s="77">
        <f ca="1">IFERROR(__xludf.DUMMYFUNCTION("DATE(VALUE(LEFT($B$2,4)),VALUE(MID($B$2,6,2)),VALUE(RIGHT($B$2,2)))
+ (VALUE(REGEXEXTRACT(INDIRECT(""A""&amp;ROW()+1),""\d+""))-1)*7
+ INT((COLUMN()-COLUMN($B151))/3)
"),46477)</f>
        <v>46477</v>
      </c>
      <c r="L151" s="81"/>
      <c r="M151" s="82"/>
      <c r="N151" s="77">
        <f ca="1">IFERROR(__xludf.DUMMYFUNCTION("DATE(VALUE(LEFT($B$2,4)),VALUE(MID($B$2,6,2)),VALUE(RIGHT($B$2,2)))
+ (VALUE(REGEXEXTRACT(INDIRECT(""A""&amp;ROW()+1),""\d+""))-1)*7
+ INT((COLUMN()-COLUMN($B151))/3)
"),46478)</f>
        <v>46478</v>
      </c>
      <c r="O151" s="81"/>
      <c r="P151" s="82"/>
      <c r="Q151" s="77">
        <f ca="1">IFERROR(__xludf.DUMMYFUNCTION("DATE(VALUE(LEFT($B$2,4)),VALUE(MID($B$2,6,2)),VALUE(RIGHT($B$2,2)))
+ (VALUE(REGEXEXTRACT(INDIRECT(""A""&amp;ROW()+1),""\d+""))-1)*7
+ INT((COLUMN()-COLUMN($B151))/3)
"),46479)</f>
        <v>46479</v>
      </c>
      <c r="R151" s="81"/>
      <c r="S151" s="82"/>
      <c r="T151" s="77">
        <f ca="1">IFERROR(__xludf.DUMMYFUNCTION("DATE(VALUE(LEFT($B$2,4)),VALUE(MID($B$2,6,2)),VALUE(RIGHT($B$2,2)))
+ (VALUE(REGEXEXTRACT(INDIRECT(""A""&amp;ROW()+1),""\d+""))-1)*7
+ INT((COLUMN()-COLUMN($B151))/3)
"),46480)</f>
        <v>46480</v>
      </c>
      <c r="U151" s="81"/>
      <c r="V151" s="82"/>
      <c r="W151" s="143"/>
    </row>
    <row r="152" spans="1:23" ht="15.75" customHeight="1">
      <c r="A152" s="51" t="s">
        <v>149</v>
      </c>
      <c r="B152" s="112"/>
      <c r="C152" s="111"/>
      <c r="D152" s="48">
        <f>V150+C152</f>
        <v>-1458</v>
      </c>
      <c r="E152" s="113"/>
      <c r="F152" s="109"/>
      <c r="G152" s="42">
        <f>D162+F152</f>
        <v>-1458</v>
      </c>
      <c r="H152" s="110"/>
      <c r="I152" s="111"/>
      <c r="J152" s="17">
        <f>G162+I152</f>
        <v>-1458</v>
      </c>
      <c r="K152" s="132"/>
      <c r="L152" s="109"/>
      <c r="M152" s="35">
        <f>J162+L152</f>
        <v>-1458</v>
      </c>
      <c r="N152" s="112"/>
      <c r="O152" s="111"/>
      <c r="P152" s="17">
        <f>M162+O152</f>
        <v>-1458</v>
      </c>
      <c r="Q152" s="109"/>
      <c r="R152" s="109"/>
      <c r="S152" s="35">
        <f>P162+R152</f>
        <v>-1458</v>
      </c>
      <c r="T152" s="112"/>
      <c r="U152" s="111"/>
      <c r="V152" s="48">
        <f>S162+U152</f>
        <v>-1458</v>
      </c>
      <c r="W152" s="143"/>
    </row>
    <row r="153" spans="1:23" ht="15.75" customHeight="1">
      <c r="A153" s="114"/>
      <c r="B153" s="106"/>
      <c r="C153" s="107"/>
      <c r="D153" s="20">
        <f t="shared" ref="D153:D162" si="91">D152+C153</f>
        <v>-1458</v>
      </c>
      <c r="E153" s="118"/>
      <c r="F153" s="117"/>
      <c r="G153" s="19">
        <f t="shared" ref="G153:G162" si="92">G152+F153</f>
        <v>-1458</v>
      </c>
      <c r="H153" s="116"/>
      <c r="I153" s="107"/>
      <c r="J153" s="26">
        <f t="shared" ref="J153:J162" si="93">J152+I153</f>
        <v>-1458</v>
      </c>
      <c r="K153" s="133"/>
      <c r="L153" s="117"/>
      <c r="M153" s="38">
        <f t="shared" ref="M153:M162" si="94">M152+L153</f>
        <v>-1458</v>
      </c>
      <c r="N153" s="106"/>
      <c r="O153" s="107"/>
      <c r="P153" s="26">
        <f t="shared" ref="P153:P162" si="95">P152+O153</f>
        <v>-1458</v>
      </c>
      <c r="Q153" s="117"/>
      <c r="R153" s="117"/>
      <c r="S153" s="38">
        <f t="shared" ref="S153:S162" si="96">S152+R153</f>
        <v>-1458</v>
      </c>
      <c r="T153" s="106"/>
      <c r="U153" s="107"/>
      <c r="V153" s="20">
        <f t="shared" ref="V153:V162" si="97">V152+U153</f>
        <v>-1458</v>
      </c>
      <c r="W153" s="143"/>
    </row>
    <row r="154" spans="1:23" ht="15.75" customHeight="1">
      <c r="A154" s="114"/>
      <c r="B154" s="106"/>
      <c r="C154" s="107"/>
      <c r="D154" s="20">
        <f t="shared" si="91"/>
        <v>-1458</v>
      </c>
      <c r="E154" s="118"/>
      <c r="F154" s="117"/>
      <c r="G154" s="19">
        <f t="shared" si="92"/>
        <v>-1458</v>
      </c>
      <c r="H154" s="116"/>
      <c r="I154" s="107"/>
      <c r="J154" s="26">
        <f t="shared" si="93"/>
        <v>-1458</v>
      </c>
      <c r="K154" s="133"/>
      <c r="L154" s="117"/>
      <c r="M154" s="38">
        <f t="shared" si="94"/>
        <v>-1458</v>
      </c>
      <c r="N154" s="106"/>
      <c r="O154" s="107"/>
      <c r="P154" s="26">
        <f t="shared" si="95"/>
        <v>-1458</v>
      </c>
      <c r="Q154" s="117"/>
      <c r="R154" s="117"/>
      <c r="S154" s="38">
        <f t="shared" si="96"/>
        <v>-1458</v>
      </c>
      <c r="T154" s="106"/>
      <c r="U154" s="116"/>
      <c r="V154" s="20">
        <f t="shared" si="97"/>
        <v>-1458</v>
      </c>
      <c r="W154" s="143"/>
    </row>
    <row r="155" spans="1:23" ht="15.75" customHeight="1">
      <c r="A155" s="114"/>
      <c r="B155" s="106"/>
      <c r="C155" s="107"/>
      <c r="D155" s="20">
        <f t="shared" si="91"/>
        <v>-1458</v>
      </c>
      <c r="E155" s="118"/>
      <c r="F155" s="117"/>
      <c r="G155" s="19">
        <f t="shared" si="92"/>
        <v>-1458</v>
      </c>
      <c r="H155" s="116"/>
      <c r="I155" s="107"/>
      <c r="J155" s="26">
        <f t="shared" si="93"/>
        <v>-1458</v>
      </c>
      <c r="K155" s="133"/>
      <c r="L155" s="117"/>
      <c r="M155" s="38">
        <f t="shared" si="94"/>
        <v>-1458</v>
      </c>
      <c r="N155" s="106"/>
      <c r="O155" s="107"/>
      <c r="P155" s="26">
        <f t="shared" si="95"/>
        <v>-1458</v>
      </c>
      <c r="Q155" s="117"/>
      <c r="R155" s="117"/>
      <c r="S155" s="38">
        <f t="shared" si="96"/>
        <v>-1458</v>
      </c>
      <c r="T155" s="106"/>
      <c r="U155" s="116"/>
      <c r="V155" s="20">
        <f t="shared" si="97"/>
        <v>-1458</v>
      </c>
      <c r="W155" s="143"/>
    </row>
    <row r="156" spans="1:23" ht="15.75" customHeight="1">
      <c r="A156" s="114"/>
      <c r="B156" s="106"/>
      <c r="C156" s="107"/>
      <c r="D156" s="20">
        <f t="shared" si="91"/>
        <v>-1458</v>
      </c>
      <c r="E156" s="118"/>
      <c r="F156" s="117"/>
      <c r="G156" s="19">
        <f t="shared" si="92"/>
        <v>-1458</v>
      </c>
      <c r="H156" s="116"/>
      <c r="I156" s="107"/>
      <c r="J156" s="26">
        <f t="shared" si="93"/>
        <v>-1458</v>
      </c>
      <c r="K156" s="133"/>
      <c r="L156" s="117"/>
      <c r="M156" s="38">
        <f t="shared" si="94"/>
        <v>-1458</v>
      </c>
      <c r="N156" s="106"/>
      <c r="O156" s="107"/>
      <c r="P156" s="26">
        <f t="shared" si="95"/>
        <v>-1458</v>
      </c>
      <c r="Q156" s="117"/>
      <c r="R156" s="117"/>
      <c r="S156" s="38">
        <f t="shared" si="96"/>
        <v>-1458</v>
      </c>
      <c r="T156" s="106"/>
      <c r="U156" s="116"/>
      <c r="V156" s="20">
        <f t="shared" si="97"/>
        <v>-1458</v>
      </c>
      <c r="W156" s="143"/>
    </row>
    <row r="157" spans="1:23" ht="15.75" customHeight="1">
      <c r="A157" s="114"/>
      <c r="B157" s="106"/>
      <c r="C157" s="107"/>
      <c r="D157" s="20">
        <f t="shared" si="91"/>
        <v>-1458</v>
      </c>
      <c r="E157" s="118"/>
      <c r="F157" s="117"/>
      <c r="G157" s="19">
        <f t="shared" si="92"/>
        <v>-1458</v>
      </c>
      <c r="H157" s="116"/>
      <c r="I157" s="107"/>
      <c r="J157" s="26">
        <f t="shared" si="93"/>
        <v>-1458</v>
      </c>
      <c r="K157" s="117"/>
      <c r="L157" s="117"/>
      <c r="M157" s="38">
        <f t="shared" si="94"/>
        <v>-1458</v>
      </c>
      <c r="N157" s="106"/>
      <c r="O157" s="107"/>
      <c r="P157" s="26">
        <f t="shared" si="95"/>
        <v>-1458</v>
      </c>
      <c r="Q157" s="117"/>
      <c r="R157" s="117"/>
      <c r="S157" s="38">
        <f t="shared" si="96"/>
        <v>-1458</v>
      </c>
      <c r="T157" s="106"/>
      <c r="U157" s="116"/>
      <c r="V157" s="20">
        <f t="shared" si="97"/>
        <v>-1458</v>
      </c>
      <c r="W157" s="143"/>
    </row>
    <row r="158" spans="1:23" ht="15.75" customHeight="1">
      <c r="A158" s="114"/>
      <c r="B158" s="106"/>
      <c r="C158" s="107"/>
      <c r="D158" s="20">
        <f t="shared" si="91"/>
        <v>-1458</v>
      </c>
      <c r="E158" s="118"/>
      <c r="F158" s="117"/>
      <c r="G158" s="19">
        <f t="shared" si="92"/>
        <v>-1458</v>
      </c>
      <c r="H158" s="116"/>
      <c r="I158" s="107"/>
      <c r="J158" s="26">
        <f t="shared" si="93"/>
        <v>-1458</v>
      </c>
      <c r="K158" s="117"/>
      <c r="L158" s="117"/>
      <c r="M158" s="38">
        <f t="shared" si="94"/>
        <v>-1458</v>
      </c>
      <c r="N158" s="106"/>
      <c r="O158" s="107"/>
      <c r="P158" s="26">
        <f t="shared" si="95"/>
        <v>-1458</v>
      </c>
      <c r="Q158" s="117"/>
      <c r="R158" s="117"/>
      <c r="S158" s="38">
        <f t="shared" si="96"/>
        <v>-1458</v>
      </c>
      <c r="T158" s="106"/>
      <c r="U158" s="116"/>
      <c r="V158" s="20">
        <f t="shared" si="97"/>
        <v>-1458</v>
      </c>
      <c r="W158" s="143"/>
    </row>
    <row r="159" spans="1:23" ht="15.75" customHeight="1">
      <c r="A159" s="114"/>
      <c r="B159" s="106"/>
      <c r="C159" s="107"/>
      <c r="D159" s="20">
        <f t="shared" si="91"/>
        <v>-1458</v>
      </c>
      <c r="E159" s="118"/>
      <c r="F159" s="117"/>
      <c r="G159" s="19">
        <f t="shared" si="92"/>
        <v>-1458</v>
      </c>
      <c r="H159" s="116"/>
      <c r="I159" s="107"/>
      <c r="J159" s="26">
        <f t="shared" si="93"/>
        <v>-1458</v>
      </c>
      <c r="K159" s="117"/>
      <c r="L159" s="117"/>
      <c r="M159" s="38">
        <f t="shared" si="94"/>
        <v>-1458</v>
      </c>
      <c r="N159" s="106"/>
      <c r="O159" s="107"/>
      <c r="P159" s="26">
        <f t="shared" si="95"/>
        <v>-1458</v>
      </c>
      <c r="Q159" s="117"/>
      <c r="R159" s="117"/>
      <c r="S159" s="38">
        <f t="shared" si="96"/>
        <v>-1458</v>
      </c>
      <c r="T159" s="106"/>
      <c r="U159" s="116"/>
      <c r="V159" s="20">
        <f t="shared" si="97"/>
        <v>-1458</v>
      </c>
      <c r="W159" s="143"/>
    </row>
    <row r="160" spans="1:23" ht="15.75" customHeight="1">
      <c r="A160" s="114"/>
      <c r="B160" s="122"/>
      <c r="C160" s="123"/>
      <c r="D160" s="20">
        <f t="shared" si="91"/>
        <v>-1458</v>
      </c>
      <c r="E160" s="118"/>
      <c r="F160" s="117"/>
      <c r="G160" s="19">
        <f t="shared" si="92"/>
        <v>-1458</v>
      </c>
      <c r="H160" s="124"/>
      <c r="I160" s="123"/>
      <c r="J160" s="26">
        <f t="shared" si="93"/>
        <v>-1458</v>
      </c>
      <c r="K160" s="117"/>
      <c r="L160" s="117"/>
      <c r="M160" s="38">
        <f t="shared" si="94"/>
        <v>-1458</v>
      </c>
      <c r="N160" s="106"/>
      <c r="O160" s="107"/>
      <c r="P160" s="26">
        <f t="shared" si="95"/>
        <v>-1458</v>
      </c>
      <c r="Q160" s="117"/>
      <c r="R160" s="117"/>
      <c r="S160" s="38">
        <f t="shared" si="96"/>
        <v>-1458</v>
      </c>
      <c r="T160" s="106"/>
      <c r="U160" s="116"/>
      <c r="V160" s="20">
        <f t="shared" si="97"/>
        <v>-1458</v>
      </c>
      <c r="W160" s="143"/>
    </row>
    <row r="161" spans="1:23" ht="15.75" customHeight="1">
      <c r="A161" s="114"/>
      <c r="B161" s="122"/>
      <c r="C161" s="123"/>
      <c r="D161" s="20">
        <f t="shared" si="91"/>
        <v>-1458</v>
      </c>
      <c r="E161" s="118"/>
      <c r="F161" s="117"/>
      <c r="G161" s="19">
        <f t="shared" si="92"/>
        <v>-1458</v>
      </c>
      <c r="H161" s="124"/>
      <c r="I161" s="123"/>
      <c r="J161" s="26">
        <f t="shared" si="93"/>
        <v>-1458</v>
      </c>
      <c r="K161" s="118"/>
      <c r="L161" s="117"/>
      <c r="M161" s="38">
        <f t="shared" si="94"/>
        <v>-1458</v>
      </c>
      <c r="N161" s="106"/>
      <c r="O161" s="107"/>
      <c r="P161" s="26">
        <f t="shared" si="95"/>
        <v>-1458</v>
      </c>
      <c r="Q161" s="117"/>
      <c r="R161" s="117"/>
      <c r="S161" s="38">
        <f t="shared" si="96"/>
        <v>-1458</v>
      </c>
      <c r="T161" s="122"/>
      <c r="U161" s="124"/>
      <c r="V161" s="20">
        <f t="shared" si="97"/>
        <v>-1458</v>
      </c>
      <c r="W161" s="143"/>
    </row>
    <row r="162" spans="1:23" ht="15.75" customHeight="1">
      <c r="A162" s="114"/>
      <c r="B162" s="122"/>
      <c r="C162" s="123"/>
      <c r="D162" s="49">
        <f t="shared" si="91"/>
        <v>-1458</v>
      </c>
      <c r="E162" s="154"/>
      <c r="F162" s="128"/>
      <c r="G162" s="29">
        <f t="shared" si="92"/>
        <v>-1458</v>
      </c>
      <c r="H162" s="124"/>
      <c r="I162" s="123"/>
      <c r="J162" s="39">
        <f t="shared" si="93"/>
        <v>-1458</v>
      </c>
      <c r="K162" s="140"/>
      <c r="L162" s="128"/>
      <c r="M162" s="40">
        <f t="shared" si="94"/>
        <v>-1458</v>
      </c>
      <c r="N162" s="122"/>
      <c r="O162" s="123"/>
      <c r="P162" s="39">
        <f t="shared" si="95"/>
        <v>-1458</v>
      </c>
      <c r="Q162" s="128"/>
      <c r="R162" s="128"/>
      <c r="S162" s="40">
        <f t="shared" si="96"/>
        <v>-1458</v>
      </c>
      <c r="T162" s="122"/>
      <c r="U162" s="123"/>
      <c r="V162" s="49">
        <f t="shared" si="97"/>
        <v>-1458</v>
      </c>
      <c r="W162" s="143"/>
    </row>
    <row r="163" spans="1:23" ht="15.75" customHeight="1">
      <c r="A163" s="87"/>
      <c r="B163" s="77">
        <f ca="1">IFERROR(__xludf.DUMMYFUNCTION("DATE(VALUE(LEFT($B$2,4)),VALUE(MID($B$2,6,2)),VALUE(RIGHT($B$2,2)))
+ (VALUE(REGEXEXTRACT(INDIRECT(""A""&amp;ROW()+1),""\d+""))-1)*7
+ INT((COLUMN()-COLUMN($B163))/3)
"),46481)</f>
        <v>46481</v>
      </c>
      <c r="C163" s="81"/>
      <c r="D163" s="82"/>
      <c r="E163" s="77">
        <f ca="1">IFERROR(__xludf.DUMMYFUNCTION("DATE(VALUE(LEFT($B$2,4)),VALUE(MID($B$2,6,2)),VALUE(RIGHT($B$2,2)))
+ (VALUE(REGEXEXTRACT(INDIRECT(""A""&amp;ROW()+1),""\d+""))-1)*7
+ INT((COLUMN()-COLUMN($B163))/3)
"),46482)</f>
        <v>46482</v>
      </c>
      <c r="F163" s="81"/>
      <c r="G163" s="82"/>
      <c r="H163" s="77">
        <f ca="1">IFERROR(__xludf.DUMMYFUNCTION("DATE(VALUE(LEFT($B$2,4)),VALUE(MID($B$2,6,2)),VALUE(RIGHT($B$2,2)))
+ (VALUE(REGEXEXTRACT(INDIRECT(""A""&amp;ROW()+1),""\d+""))-1)*7
+ INT((COLUMN()-COLUMN($B163))/3)
"),46483)</f>
        <v>46483</v>
      </c>
      <c r="I163" s="81"/>
      <c r="J163" s="82"/>
      <c r="K163" s="77">
        <f ca="1">IFERROR(__xludf.DUMMYFUNCTION("DATE(VALUE(LEFT($B$2,4)),VALUE(MID($B$2,6,2)),VALUE(RIGHT($B$2,2)))
+ (VALUE(REGEXEXTRACT(INDIRECT(""A""&amp;ROW()+1),""\d+""))-1)*7
+ INT((COLUMN()-COLUMN($B163))/3)
"),46484)</f>
        <v>46484</v>
      </c>
      <c r="L163" s="81"/>
      <c r="M163" s="82"/>
      <c r="N163" s="77">
        <f ca="1">IFERROR(__xludf.DUMMYFUNCTION("DATE(VALUE(LEFT($B$2,4)),VALUE(MID($B$2,6,2)),VALUE(RIGHT($B$2,2)))
+ (VALUE(REGEXEXTRACT(INDIRECT(""A""&amp;ROW()+1),""\d+""))-1)*7
+ INT((COLUMN()-COLUMN($B163))/3)
"),46485)</f>
        <v>46485</v>
      </c>
      <c r="O163" s="81"/>
      <c r="P163" s="82"/>
      <c r="Q163" s="77">
        <f ca="1">IFERROR(__xludf.DUMMYFUNCTION("DATE(VALUE(LEFT($B$2,4)),VALUE(MID($B$2,6,2)),VALUE(RIGHT($B$2,2)))
+ (VALUE(REGEXEXTRACT(INDIRECT(""A""&amp;ROW()+1),""\d+""))-1)*7
+ INT((COLUMN()-COLUMN($B163))/3)
"),46486)</f>
        <v>46486</v>
      </c>
      <c r="R163" s="81"/>
      <c r="S163" s="82"/>
      <c r="T163" s="77">
        <f ca="1">IFERROR(__xludf.DUMMYFUNCTION("DATE(VALUE(LEFT($B$2,4)),VALUE(MID($B$2,6,2)),VALUE(RIGHT($B$2,2)))
+ (VALUE(REGEXEXTRACT(INDIRECT(""A""&amp;ROW()+1),""\d+""))-1)*7
+ INT((COLUMN()-COLUMN($B163))/3)
"),46487)</f>
        <v>46487</v>
      </c>
      <c r="U163" s="81"/>
      <c r="V163" s="82"/>
      <c r="W163" s="52" t="s">
        <v>20</v>
      </c>
    </row>
    <row r="164" spans="1:23" ht="15.75" customHeight="1">
      <c r="A164" s="47" t="s">
        <v>150</v>
      </c>
      <c r="B164" s="109"/>
      <c r="C164" s="109"/>
      <c r="D164" s="50">
        <f>V162+C164</f>
        <v>-1458</v>
      </c>
      <c r="E164" s="112"/>
      <c r="F164" s="111"/>
      <c r="G164" s="17">
        <f>D174+F164</f>
        <v>-1458</v>
      </c>
      <c r="H164" s="132"/>
      <c r="I164" s="109"/>
      <c r="J164" s="42">
        <f>G174+I164</f>
        <v>-1458</v>
      </c>
      <c r="K164" s="110"/>
      <c r="L164" s="111"/>
      <c r="M164" s="18">
        <f>J174+L164</f>
        <v>-1458</v>
      </c>
      <c r="N164" s="113"/>
      <c r="O164" s="109"/>
      <c r="P164" s="35">
        <f>M174+O164</f>
        <v>-1458</v>
      </c>
      <c r="Q164" s="112"/>
      <c r="R164" s="111"/>
      <c r="S164" s="18">
        <f>P174+R164</f>
        <v>-1458</v>
      </c>
      <c r="T164" s="113"/>
      <c r="U164" s="109"/>
      <c r="V164" s="50">
        <f>S174+U164</f>
        <v>-1458</v>
      </c>
      <c r="W164" s="172"/>
    </row>
    <row r="165" spans="1:23" ht="15.75" customHeight="1">
      <c r="A165" s="114"/>
      <c r="B165" s="117"/>
      <c r="C165" s="117"/>
      <c r="D165" s="45">
        <f t="shared" ref="D165:D174" si="98">D164+C165</f>
        <v>-1458</v>
      </c>
      <c r="E165" s="106"/>
      <c r="F165" s="107"/>
      <c r="G165" s="26">
        <f t="shared" ref="G165:G174" si="99">G164+F165</f>
        <v>-1458</v>
      </c>
      <c r="H165" s="117"/>
      <c r="I165" s="117"/>
      <c r="J165" s="19">
        <f t="shared" ref="J165:J174" si="100">J164+I165</f>
        <v>-1458</v>
      </c>
      <c r="K165" s="106"/>
      <c r="L165" s="107"/>
      <c r="M165" s="26">
        <f t="shared" ref="M165:M174" si="101">M164+L165</f>
        <v>-1458</v>
      </c>
      <c r="N165" s="118"/>
      <c r="O165" s="117"/>
      <c r="P165" s="38">
        <f t="shared" ref="P165:P174" si="102">P164+O165</f>
        <v>-1458</v>
      </c>
      <c r="Q165" s="106"/>
      <c r="R165" s="107"/>
      <c r="S165" s="26">
        <f t="shared" ref="S165:S174" si="103">S164+R165</f>
        <v>-1458</v>
      </c>
      <c r="T165" s="136"/>
      <c r="U165" s="136"/>
      <c r="V165" s="45">
        <f t="shared" ref="V165:V174" si="104">V164+U165</f>
        <v>-1458</v>
      </c>
      <c r="W165" s="143"/>
    </row>
    <row r="166" spans="1:23" ht="15.75" customHeight="1">
      <c r="A166" s="114"/>
      <c r="B166" s="117"/>
      <c r="C166" s="117"/>
      <c r="D166" s="45">
        <f t="shared" si="98"/>
        <v>-1458</v>
      </c>
      <c r="E166" s="106"/>
      <c r="F166" s="107"/>
      <c r="G166" s="26">
        <f t="shared" si="99"/>
        <v>-1458</v>
      </c>
      <c r="H166" s="117"/>
      <c r="I166" s="117"/>
      <c r="J166" s="19">
        <f t="shared" si="100"/>
        <v>-1458</v>
      </c>
      <c r="K166" s="106"/>
      <c r="L166" s="107"/>
      <c r="M166" s="26">
        <f t="shared" si="101"/>
        <v>-1458</v>
      </c>
      <c r="N166" s="118"/>
      <c r="O166" s="117"/>
      <c r="P166" s="38">
        <f t="shared" si="102"/>
        <v>-1458</v>
      </c>
      <c r="Q166" s="106"/>
      <c r="R166" s="107"/>
      <c r="S166" s="26">
        <f t="shared" si="103"/>
        <v>-1458</v>
      </c>
      <c r="T166" s="136"/>
      <c r="U166" s="136"/>
      <c r="V166" s="45">
        <f t="shared" si="104"/>
        <v>-1458</v>
      </c>
      <c r="W166" s="143"/>
    </row>
    <row r="167" spans="1:23" ht="15.75" customHeight="1">
      <c r="A167" s="114"/>
      <c r="B167" s="117"/>
      <c r="C167" s="117"/>
      <c r="D167" s="45">
        <f t="shared" si="98"/>
        <v>-1458</v>
      </c>
      <c r="E167" s="106"/>
      <c r="F167" s="107"/>
      <c r="G167" s="26">
        <f t="shared" si="99"/>
        <v>-1458</v>
      </c>
      <c r="H167" s="117"/>
      <c r="I167" s="117"/>
      <c r="J167" s="19">
        <f t="shared" si="100"/>
        <v>-1458</v>
      </c>
      <c r="K167" s="106"/>
      <c r="L167" s="107"/>
      <c r="M167" s="26">
        <f t="shared" si="101"/>
        <v>-1458</v>
      </c>
      <c r="N167" s="118"/>
      <c r="O167" s="117"/>
      <c r="P167" s="38">
        <f t="shared" si="102"/>
        <v>-1458</v>
      </c>
      <c r="Q167" s="106"/>
      <c r="R167" s="107"/>
      <c r="S167" s="26">
        <f t="shared" si="103"/>
        <v>-1458</v>
      </c>
      <c r="T167" s="136"/>
      <c r="U167" s="136"/>
      <c r="V167" s="45">
        <f t="shared" si="104"/>
        <v>-1458</v>
      </c>
      <c r="W167" s="143"/>
    </row>
    <row r="168" spans="1:23" ht="15.75" customHeight="1">
      <c r="A168" s="114"/>
      <c r="B168" s="117"/>
      <c r="C168" s="117"/>
      <c r="D168" s="45">
        <f t="shared" si="98"/>
        <v>-1458</v>
      </c>
      <c r="E168" s="106"/>
      <c r="F168" s="107"/>
      <c r="G168" s="26">
        <f t="shared" si="99"/>
        <v>-1458</v>
      </c>
      <c r="H168" s="133"/>
      <c r="I168" s="117"/>
      <c r="J168" s="19">
        <f t="shared" si="100"/>
        <v>-1458</v>
      </c>
      <c r="K168" s="106"/>
      <c r="L168" s="107"/>
      <c r="M168" s="26">
        <f t="shared" si="101"/>
        <v>-1458</v>
      </c>
      <c r="N168" s="118"/>
      <c r="O168" s="117"/>
      <c r="P168" s="38">
        <f t="shared" si="102"/>
        <v>-1458</v>
      </c>
      <c r="Q168" s="106"/>
      <c r="R168" s="107"/>
      <c r="S168" s="26">
        <f t="shared" si="103"/>
        <v>-1458</v>
      </c>
      <c r="T168" s="136"/>
      <c r="U168" s="136"/>
      <c r="V168" s="45">
        <f t="shared" si="104"/>
        <v>-1458</v>
      </c>
      <c r="W168" s="143"/>
    </row>
    <row r="169" spans="1:23" ht="15.75" customHeight="1">
      <c r="A169" s="114"/>
      <c r="B169" s="117"/>
      <c r="C169" s="117"/>
      <c r="D169" s="45">
        <f t="shared" si="98"/>
        <v>-1458</v>
      </c>
      <c r="E169" s="106"/>
      <c r="F169" s="107"/>
      <c r="G169" s="26">
        <f t="shared" si="99"/>
        <v>-1458</v>
      </c>
      <c r="H169" s="133"/>
      <c r="I169" s="117"/>
      <c r="J169" s="19">
        <f t="shared" si="100"/>
        <v>-1458</v>
      </c>
      <c r="K169" s="106"/>
      <c r="L169" s="107"/>
      <c r="M169" s="26">
        <f t="shared" si="101"/>
        <v>-1458</v>
      </c>
      <c r="N169" s="118"/>
      <c r="O169" s="117"/>
      <c r="P169" s="38">
        <f t="shared" si="102"/>
        <v>-1458</v>
      </c>
      <c r="Q169" s="106"/>
      <c r="R169" s="107"/>
      <c r="S169" s="26">
        <f t="shared" si="103"/>
        <v>-1458</v>
      </c>
      <c r="T169" s="136"/>
      <c r="U169" s="136"/>
      <c r="V169" s="45">
        <f t="shared" si="104"/>
        <v>-1458</v>
      </c>
      <c r="W169" s="143"/>
    </row>
    <row r="170" spans="1:23" ht="15.75" customHeight="1">
      <c r="A170" s="114"/>
      <c r="B170" s="117"/>
      <c r="C170" s="117"/>
      <c r="D170" s="45">
        <f t="shared" si="98"/>
        <v>-1458</v>
      </c>
      <c r="E170" s="106"/>
      <c r="F170" s="107"/>
      <c r="G170" s="26">
        <f t="shared" si="99"/>
        <v>-1458</v>
      </c>
      <c r="H170" s="133"/>
      <c r="I170" s="117"/>
      <c r="J170" s="19">
        <f t="shared" si="100"/>
        <v>-1458</v>
      </c>
      <c r="K170" s="116"/>
      <c r="L170" s="107"/>
      <c r="M170" s="26">
        <f t="shared" si="101"/>
        <v>-1458</v>
      </c>
      <c r="N170" s="133"/>
      <c r="O170" s="117"/>
      <c r="P170" s="38">
        <f t="shared" si="102"/>
        <v>-1458</v>
      </c>
      <c r="Q170" s="106"/>
      <c r="R170" s="107"/>
      <c r="S170" s="26">
        <f t="shared" si="103"/>
        <v>-1458</v>
      </c>
      <c r="T170" s="136"/>
      <c r="U170" s="136"/>
      <c r="V170" s="45">
        <f t="shared" si="104"/>
        <v>-1458</v>
      </c>
      <c r="W170" s="143"/>
    </row>
    <row r="171" spans="1:23" ht="15.75" customHeight="1">
      <c r="A171" s="114"/>
      <c r="B171" s="117"/>
      <c r="C171" s="117"/>
      <c r="D171" s="45">
        <f t="shared" si="98"/>
        <v>-1458</v>
      </c>
      <c r="E171" s="106"/>
      <c r="F171" s="107"/>
      <c r="G171" s="26">
        <f t="shared" si="99"/>
        <v>-1458</v>
      </c>
      <c r="H171" s="133"/>
      <c r="I171" s="117"/>
      <c r="J171" s="19">
        <f t="shared" si="100"/>
        <v>-1458</v>
      </c>
      <c r="K171" s="116"/>
      <c r="L171" s="107"/>
      <c r="M171" s="26">
        <f t="shared" si="101"/>
        <v>-1458</v>
      </c>
      <c r="N171" s="133"/>
      <c r="O171" s="117"/>
      <c r="P171" s="38">
        <f t="shared" si="102"/>
        <v>-1458</v>
      </c>
      <c r="Q171" s="106"/>
      <c r="R171" s="107"/>
      <c r="S171" s="26">
        <f t="shared" si="103"/>
        <v>-1458</v>
      </c>
      <c r="T171" s="136"/>
      <c r="U171" s="136"/>
      <c r="V171" s="45">
        <f t="shared" si="104"/>
        <v>-1458</v>
      </c>
      <c r="W171" s="143"/>
    </row>
    <row r="172" spans="1:23" ht="15.75" customHeight="1">
      <c r="A172" s="114"/>
      <c r="B172" s="117"/>
      <c r="C172" s="117"/>
      <c r="D172" s="45">
        <f t="shared" si="98"/>
        <v>-1458</v>
      </c>
      <c r="E172" s="106"/>
      <c r="F172" s="107"/>
      <c r="G172" s="26">
        <f t="shared" si="99"/>
        <v>-1458</v>
      </c>
      <c r="H172" s="133"/>
      <c r="I172" s="117"/>
      <c r="J172" s="19">
        <f t="shared" si="100"/>
        <v>-1458</v>
      </c>
      <c r="K172" s="116"/>
      <c r="L172" s="107"/>
      <c r="M172" s="26">
        <f t="shared" si="101"/>
        <v>-1458</v>
      </c>
      <c r="N172" s="117"/>
      <c r="O172" s="117"/>
      <c r="P172" s="38">
        <f t="shared" si="102"/>
        <v>-1458</v>
      </c>
      <c r="Q172" s="106"/>
      <c r="R172" s="107"/>
      <c r="S172" s="26">
        <f t="shared" si="103"/>
        <v>-1458</v>
      </c>
      <c r="T172" s="136"/>
      <c r="U172" s="136"/>
      <c r="V172" s="45">
        <f t="shared" si="104"/>
        <v>-1458</v>
      </c>
      <c r="W172" s="143"/>
    </row>
    <row r="173" spans="1:23" ht="15.75" customHeight="1">
      <c r="A173" s="114"/>
      <c r="B173" s="117"/>
      <c r="C173" s="117"/>
      <c r="D173" s="45">
        <f t="shared" si="98"/>
        <v>-1458</v>
      </c>
      <c r="E173" s="122"/>
      <c r="F173" s="123"/>
      <c r="G173" s="26">
        <f t="shared" si="99"/>
        <v>-1458</v>
      </c>
      <c r="H173" s="133"/>
      <c r="I173" s="117"/>
      <c r="J173" s="19">
        <f t="shared" si="100"/>
        <v>-1458</v>
      </c>
      <c r="K173" s="124"/>
      <c r="L173" s="123"/>
      <c r="M173" s="26">
        <f t="shared" si="101"/>
        <v>-1458</v>
      </c>
      <c r="N173" s="117"/>
      <c r="O173" s="117"/>
      <c r="P173" s="38">
        <f t="shared" si="102"/>
        <v>-1458</v>
      </c>
      <c r="Q173" s="106"/>
      <c r="R173" s="107"/>
      <c r="S173" s="26">
        <f t="shared" si="103"/>
        <v>-1458</v>
      </c>
      <c r="T173" s="136"/>
      <c r="U173" s="136"/>
      <c r="V173" s="45">
        <f t="shared" si="104"/>
        <v>-1458</v>
      </c>
      <c r="W173" s="143"/>
    </row>
    <row r="174" spans="1:23" ht="15.75" customHeight="1">
      <c r="A174" s="114"/>
      <c r="B174" s="128"/>
      <c r="C174" s="128"/>
      <c r="D174" s="46">
        <f t="shared" si="98"/>
        <v>-1458</v>
      </c>
      <c r="E174" s="166"/>
      <c r="F174" s="167"/>
      <c r="G174" s="53">
        <f t="shared" si="99"/>
        <v>-1458</v>
      </c>
      <c r="H174" s="174"/>
      <c r="I174" s="175"/>
      <c r="J174" s="55">
        <f t="shared" si="100"/>
        <v>-1458</v>
      </c>
      <c r="K174" s="124"/>
      <c r="L174" s="123"/>
      <c r="M174" s="39">
        <f t="shared" si="101"/>
        <v>-1458</v>
      </c>
      <c r="N174" s="128"/>
      <c r="O174" s="128"/>
      <c r="P174" s="40">
        <f t="shared" si="102"/>
        <v>-1458</v>
      </c>
      <c r="Q174" s="122"/>
      <c r="R174" s="123"/>
      <c r="S174" s="39">
        <f t="shared" si="103"/>
        <v>-1458</v>
      </c>
      <c r="T174" s="141"/>
      <c r="U174" s="141"/>
      <c r="V174" s="46">
        <f t="shared" si="104"/>
        <v>-1458</v>
      </c>
      <c r="W174" s="143"/>
    </row>
    <row r="175" spans="1:23" ht="15.75" customHeight="1">
      <c r="A175" s="87"/>
      <c r="B175" s="77">
        <f ca="1">IFERROR(__xludf.DUMMYFUNCTION("DATE(VALUE(LEFT($B$2,4)),VALUE(MID($B$2,6,2)),VALUE(RIGHT($B$2,2)))
+ (VALUE(REGEXEXTRACT(INDIRECT(""A""&amp;ROW()+1),""\d+""))-1)*7
+ INT((COLUMN()-COLUMN($B175))/3)
"),46488)</f>
        <v>46488</v>
      </c>
      <c r="C175" s="81"/>
      <c r="D175" s="82"/>
      <c r="E175" s="77">
        <f ca="1">IFERROR(__xludf.DUMMYFUNCTION("DATE(VALUE(LEFT($B$2,4)),VALUE(MID($B$2,6,2)),VALUE(RIGHT($B$2,2)))
+ (VALUE(REGEXEXTRACT(INDIRECT(""A""&amp;ROW()+1),""\d+""))-1)*7
+ INT((COLUMN()-COLUMN($B175))/3)
"),46489)</f>
        <v>46489</v>
      </c>
      <c r="F175" s="81"/>
      <c r="G175" s="82"/>
      <c r="H175" s="77">
        <f ca="1">IFERROR(__xludf.DUMMYFUNCTION("DATE(VALUE(LEFT($B$2,4)),VALUE(MID($B$2,6,2)),VALUE(RIGHT($B$2,2)))
+ (VALUE(REGEXEXTRACT(INDIRECT(""A""&amp;ROW()+1),""\d+""))-1)*7
+ INT((COLUMN()-COLUMN($B175))/3)
"),46490)</f>
        <v>46490</v>
      </c>
      <c r="I175" s="81"/>
      <c r="J175" s="82"/>
      <c r="K175" s="77">
        <f ca="1">IFERROR(__xludf.DUMMYFUNCTION("DATE(VALUE(LEFT($B$2,4)),VALUE(MID($B$2,6,2)),VALUE(RIGHT($B$2,2)))
+ (VALUE(REGEXEXTRACT(INDIRECT(""A""&amp;ROW()+1),""\d+""))-1)*7
+ INT((COLUMN()-COLUMN($B175))/3)
"),46491)</f>
        <v>46491</v>
      </c>
      <c r="L175" s="81"/>
      <c r="M175" s="82"/>
      <c r="N175" s="77">
        <f ca="1">IFERROR(__xludf.DUMMYFUNCTION("DATE(VALUE(LEFT($B$2,4)),VALUE(MID($B$2,6,2)),VALUE(RIGHT($B$2,2)))
+ (VALUE(REGEXEXTRACT(INDIRECT(""A""&amp;ROW()+1),""\d+""))-1)*7
+ INT((COLUMN()-COLUMN($B175))/3)
"),46492)</f>
        <v>46492</v>
      </c>
      <c r="O175" s="81"/>
      <c r="P175" s="82"/>
      <c r="Q175" s="77">
        <f ca="1">IFERROR(__xludf.DUMMYFUNCTION("DATE(VALUE(LEFT($B$2,4)),VALUE(MID($B$2,6,2)),VALUE(RIGHT($B$2,2)))
+ (VALUE(REGEXEXTRACT(INDIRECT(""A""&amp;ROW()+1),""\d+""))-1)*7
+ INT((COLUMN()-COLUMN($B175))/3)
"),46493)</f>
        <v>46493</v>
      </c>
      <c r="R175" s="81"/>
      <c r="S175" s="82"/>
      <c r="T175" s="77">
        <f ca="1">IFERROR(__xludf.DUMMYFUNCTION("DATE(VALUE(LEFT($B$2,4)),VALUE(MID($B$2,6,2)),VALUE(RIGHT($B$2,2)))
+ (VALUE(REGEXEXTRACT(INDIRECT(""A""&amp;ROW()+1),""\d+""))-1)*7
+ INT((COLUMN()-COLUMN($B175))/3)
"),46494)</f>
        <v>46494</v>
      </c>
      <c r="U175" s="81"/>
      <c r="V175" s="82"/>
      <c r="W175" s="143"/>
    </row>
    <row r="176" spans="1:23" ht="15.75" customHeight="1">
      <c r="A176" s="51" t="s">
        <v>151</v>
      </c>
      <c r="B176" s="112"/>
      <c r="C176" s="111"/>
      <c r="D176" s="17">
        <f>V174+C176</f>
        <v>-1458</v>
      </c>
      <c r="E176" s="109"/>
      <c r="F176" s="109"/>
      <c r="G176" s="42">
        <f>D186+F176</f>
        <v>-1458</v>
      </c>
      <c r="H176" s="112"/>
      <c r="I176" s="111"/>
      <c r="J176" s="17">
        <f>G186+I176</f>
        <v>-1458</v>
      </c>
      <c r="K176" s="109"/>
      <c r="L176" s="109"/>
      <c r="M176" s="35">
        <f>J186+L176</f>
        <v>-1458</v>
      </c>
      <c r="N176" s="112"/>
      <c r="O176" s="111"/>
      <c r="P176" s="17">
        <f>M186+O176</f>
        <v>-1458</v>
      </c>
      <c r="Q176" s="109"/>
      <c r="R176" s="109"/>
      <c r="S176" s="35">
        <f>P186+R176</f>
        <v>-1458</v>
      </c>
      <c r="T176" s="112"/>
      <c r="U176" s="111"/>
      <c r="V176" s="48">
        <f>S186+U176</f>
        <v>-1458</v>
      </c>
      <c r="W176" s="143"/>
    </row>
    <row r="177" spans="1:23" ht="15.75" customHeight="1">
      <c r="A177" s="114"/>
      <c r="B177" s="106"/>
      <c r="C177" s="107"/>
      <c r="D177" s="26">
        <f t="shared" ref="D177:D186" si="105">D176+C177</f>
        <v>-1458</v>
      </c>
      <c r="E177" s="117"/>
      <c r="F177" s="117"/>
      <c r="G177" s="19">
        <f t="shared" ref="G177:G186" si="106">G176+F177</f>
        <v>-1458</v>
      </c>
      <c r="H177" s="106"/>
      <c r="I177" s="107"/>
      <c r="J177" s="26">
        <f t="shared" ref="J177:J186" si="107">J176+I177</f>
        <v>-1458</v>
      </c>
      <c r="K177" s="117"/>
      <c r="L177" s="117"/>
      <c r="M177" s="38">
        <f t="shared" ref="M177:M186" si="108">M176+L177</f>
        <v>-1458</v>
      </c>
      <c r="N177" s="106"/>
      <c r="O177" s="107"/>
      <c r="P177" s="26">
        <f t="shared" ref="P177:P186" si="109">P176+O177</f>
        <v>-1458</v>
      </c>
      <c r="Q177" s="117"/>
      <c r="R177" s="117"/>
      <c r="S177" s="38">
        <f t="shared" ref="S177:S186" si="110">S176+R177</f>
        <v>-1458</v>
      </c>
      <c r="T177" s="106"/>
      <c r="U177" s="107"/>
      <c r="V177" s="20">
        <f t="shared" ref="V177:V186" si="111">V176+U177</f>
        <v>-1458</v>
      </c>
      <c r="W177" s="143"/>
    </row>
    <row r="178" spans="1:23" ht="15.75" customHeight="1">
      <c r="A178" s="114"/>
      <c r="B178" s="106"/>
      <c r="C178" s="107"/>
      <c r="D178" s="26">
        <f t="shared" si="105"/>
        <v>-1458</v>
      </c>
      <c r="E178" s="117"/>
      <c r="F178" s="117"/>
      <c r="G178" s="19">
        <f t="shared" si="106"/>
        <v>-1458</v>
      </c>
      <c r="H178" s="106"/>
      <c r="I178" s="107"/>
      <c r="J178" s="26">
        <f t="shared" si="107"/>
        <v>-1458</v>
      </c>
      <c r="K178" s="117"/>
      <c r="L178" s="117"/>
      <c r="M178" s="38">
        <f t="shared" si="108"/>
        <v>-1458</v>
      </c>
      <c r="N178" s="106"/>
      <c r="O178" s="107"/>
      <c r="P178" s="26">
        <f t="shared" si="109"/>
        <v>-1458</v>
      </c>
      <c r="Q178" s="117"/>
      <c r="R178" s="117"/>
      <c r="S178" s="38">
        <f t="shared" si="110"/>
        <v>-1458</v>
      </c>
      <c r="T178" s="106"/>
      <c r="U178" s="107"/>
      <c r="V178" s="20">
        <f t="shared" si="111"/>
        <v>-1458</v>
      </c>
      <c r="W178" s="143"/>
    </row>
    <row r="179" spans="1:23" ht="15.75" customHeight="1">
      <c r="A179" s="114"/>
      <c r="B179" s="106"/>
      <c r="C179" s="107"/>
      <c r="D179" s="26">
        <f t="shared" si="105"/>
        <v>-1458</v>
      </c>
      <c r="E179" s="117"/>
      <c r="F179" s="117"/>
      <c r="G179" s="19">
        <f t="shared" si="106"/>
        <v>-1458</v>
      </c>
      <c r="H179" s="106"/>
      <c r="I179" s="107"/>
      <c r="J179" s="26">
        <f t="shared" si="107"/>
        <v>-1458</v>
      </c>
      <c r="K179" s="117"/>
      <c r="L179" s="117"/>
      <c r="M179" s="38">
        <f t="shared" si="108"/>
        <v>-1458</v>
      </c>
      <c r="N179" s="106"/>
      <c r="O179" s="107"/>
      <c r="P179" s="26">
        <f t="shared" si="109"/>
        <v>-1458</v>
      </c>
      <c r="Q179" s="117"/>
      <c r="R179" s="117"/>
      <c r="S179" s="38">
        <f t="shared" si="110"/>
        <v>-1458</v>
      </c>
      <c r="T179" s="106"/>
      <c r="U179" s="107"/>
      <c r="V179" s="20">
        <f t="shared" si="111"/>
        <v>-1458</v>
      </c>
      <c r="W179" s="143"/>
    </row>
    <row r="180" spans="1:23" ht="15.75" customHeight="1">
      <c r="A180" s="114"/>
      <c r="B180" s="106"/>
      <c r="C180" s="107"/>
      <c r="D180" s="26">
        <f t="shared" si="105"/>
        <v>-1458</v>
      </c>
      <c r="E180" s="117"/>
      <c r="F180" s="117"/>
      <c r="G180" s="19">
        <f t="shared" si="106"/>
        <v>-1458</v>
      </c>
      <c r="H180" s="106"/>
      <c r="I180" s="107"/>
      <c r="J180" s="26">
        <f t="shared" si="107"/>
        <v>-1458</v>
      </c>
      <c r="K180" s="117"/>
      <c r="L180" s="117"/>
      <c r="M180" s="38">
        <f t="shared" si="108"/>
        <v>-1458</v>
      </c>
      <c r="N180" s="106"/>
      <c r="O180" s="107"/>
      <c r="P180" s="26">
        <f t="shared" si="109"/>
        <v>-1458</v>
      </c>
      <c r="Q180" s="117"/>
      <c r="R180" s="117"/>
      <c r="S180" s="38">
        <f t="shared" si="110"/>
        <v>-1458</v>
      </c>
      <c r="T180" s="106"/>
      <c r="U180" s="107"/>
      <c r="V180" s="20">
        <f t="shared" si="111"/>
        <v>-1458</v>
      </c>
      <c r="W180" s="143"/>
    </row>
    <row r="181" spans="1:23" ht="15.75" customHeight="1">
      <c r="A181" s="114"/>
      <c r="B181" s="106"/>
      <c r="C181" s="107"/>
      <c r="D181" s="26">
        <f t="shared" si="105"/>
        <v>-1458</v>
      </c>
      <c r="E181" s="117"/>
      <c r="F181" s="117"/>
      <c r="G181" s="19">
        <f t="shared" si="106"/>
        <v>-1458</v>
      </c>
      <c r="H181" s="106"/>
      <c r="I181" s="107"/>
      <c r="J181" s="26">
        <f t="shared" si="107"/>
        <v>-1458</v>
      </c>
      <c r="K181" s="117"/>
      <c r="L181" s="117"/>
      <c r="M181" s="38">
        <f t="shared" si="108"/>
        <v>-1458</v>
      </c>
      <c r="N181" s="106"/>
      <c r="O181" s="107"/>
      <c r="P181" s="26">
        <f t="shared" si="109"/>
        <v>-1458</v>
      </c>
      <c r="Q181" s="117"/>
      <c r="R181" s="117"/>
      <c r="S181" s="38">
        <f t="shared" si="110"/>
        <v>-1458</v>
      </c>
      <c r="T181" s="106"/>
      <c r="U181" s="107"/>
      <c r="V181" s="20">
        <f t="shared" si="111"/>
        <v>-1458</v>
      </c>
      <c r="W181" s="143"/>
    </row>
    <row r="182" spans="1:23" ht="15.75" customHeight="1">
      <c r="A182" s="114"/>
      <c r="B182" s="106"/>
      <c r="C182" s="107"/>
      <c r="D182" s="26">
        <f t="shared" si="105"/>
        <v>-1458</v>
      </c>
      <c r="E182" s="117"/>
      <c r="F182" s="117"/>
      <c r="G182" s="19">
        <f t="shared" si="106"/>
        <v>-1458</v>
      </c>
      <c r="H182" s="106"/>
      <c r="I182" s="107"/>
      <c r="J182" s="26">
        <f t="shared" si="107"/>
        <v>-1458</v>
      </c>
      <c r="K182" s="117"/>
      <c r="L182" s="117"/>
      <c r="M182" s="38">
        <f t="shared" si="108"/>
        <v>-1458</v>
      </c>
      <c r="N182" s="106"/>
      <c r="O182" s="107"/>
      <c r="P182" s="26">
        <f t="shared" si="109"/>
        <v>-1458</v>
      </c>
      <c r="Q182" s="117"/>
      <c r="R182" s="117"/>
      <c r="S182" s="38">
        <f t="shared" si="110"/>
        <v>-1458</v>
      </c>
      <c r="T182" s="106"/>
      <c r="U182" s="107"/>
      <c r="V182" s="20">
        <f t="shared" si="111"/>
        <v>-1458</v>
      </c>
      <c r="W182" s="143"/>
    </row>
    <row r="183" spans="1:23" ht="15.75" customHeight="1">
      <c r="A183" s="114"/>
      <c r="B183" s="106"/>
      <c r="C183" s="107"/>
      <c r="D183" s="26">
        <f t="shared" si="105"/>
        <v>-1458</v>
      </c>
      <c r="E183" s="117"/>
      <c r="F183" s="117"/>
      <c r="G183" s="19">
        <f t="shared" si="106"/>
        <v>-1458</v>
      </c>
      <c r="H183" s="106"/>
      <c r="I183" s="107"/>
      <c r="J183" s="26">
        <f t="shared" si="107"/>
        <v>-1458</v>
      </c>
      <c r="K183" s="117"/>
      <c r="L183" s="117"/>
      <c r="M183" s="38">
        <f t="shared" si="108"/>
        <v>-1458</v>
      </c>
      <c r="N183" s="106"/>
      <c r="O183" s="107"/>
      <c r="P183" s="26">
        <f t="shared" si="109"/>
        <v>-1458</v>
      </c>
      <c r="Q183" s="117"/>
      <c r="R183" s="117"/>
      <c r="S183" s="38">
        <f t="shared" si="110"/>
        <v>-1458</v>
      </c>
      <c r="T183" s="106"/>
      <c r="U183" s="107"/>
      <c r="V183" s="20">
        <f t="shared" si="111"/>
        <v>-1458</v>
      </c>
      <c r="W183" s="143"/>
    </row>
    <row r="184" spans="1:23" ht="15.75" customHeight="1">
      <c r="A184" s="114"/>
      <c r="B184" s="106"/>
      <c r="C184" s="107"/>
      <c r="D184" s="26">
        <f t="shared" si="105"/>
        <v>-1458</v>
      </c>
      <c r="E184" s="117"/>
      <c r="F184" s="117"/>
      <c r="G184" s="19">
        <f t="shared" si="106"/>
        <v>-1458</v>
      </c>
      <c r="H184" s="122"/>
      <c r="I184" s="123"/>
      <c r="J184" s="26">
        <f t="shared" si="107"/>
        <v>-1458</v>
      </c>
      <c r="K184" s="117"/>
      <c r="L184" s="117"/>
      <c r="M184" s="38">
        <f t="shared" si="108"/>
        <v>-1458</v>
      </c>
      <c r="N184" s="122"/>
      <c r="O184" s="123"/>
      <c r="P184" s="26">
        <f t="shared" si="109"/>
        <v>-1458</v>
      </c>
      <c r="Q184" s="117"/>
      <c r="R184" s="117"/>
      <c r="S184" s="38">
        <f t="shared" si="110"/>
        <v>-1458</v>
      </c>
      <c r="T184" s="106"/>
      <c r="U184" s="107"/>
      <c r="V184" s="20">
        <f t="shared" si="111"/>
        <v>-1458</v>
      </c>
      <c r="W184" s="143"/>
    </row>
    <row r="185" spans="1:23" ht="15.75" customHeight="1">
      <c r="A185" s="114"/>
      <c r="B185" s="106"/>
      <c r="C185" s="107"/>
      <c r="D185" s="26">
        <f t="shared" si="105"/>
        <v>-1458</v>
      </c>
      <c r="E185" s="117"/>
      <c r="F185" s="117"/>
      <c r="G185" s="19">
        <f t="shared" si="106"/>
        <v>-1458</v>
      </c>
      <c r="H185" s="122"/>
      <c r="I185" s="123"/>
      <c r="J185" s="26">
        <f t="shared" si="107"/>
        <v>-1458</v>
      </c>
      <c r="K185" s="117"/>
      <c r="L185" s="117"/>
      <c r="M185" s="38">
        <f t="shared" si="108"/>
        <v>-1458</v>
      </c>
      <c r="N185" s="122"/>
      <c r="O185" s="123"/>
      <c r="P185" s="26">
        <f t="shared" si="109"/>
        <v>-1458</v>
      </c>
      <c r="Q185" s="117"/>
      <c r="R185" s="117"/>
      <c r="S185" s="38">
        <f t="shared" si="110"/>
        <v>-1458</v>
      </c>
      <c r="T185" s="122"/>
      <c r="U185" s="124"/>
      <c r="V185" s="20">
        <f t="shared" si="111"/>
        <v>-1458</v>
      </c>
      <c r="W185" s="143"/>
    </row>
    <row r="186" spans="1:23" ht="15.75" customHeight="1">
      <c r="A186" s="114"/>
      <c r="B186" s="122"/>
      <c r="C186" s="123"/>
      <c r="D186" s="39">
        <f t="shared" si="105"/>
        <v>-1458</v>
      </c>
      <c r="E186" s="128"/>
      <c r="F186" s="128"/>
      <c r="G186" s="29">
        <f t="shared" si="106"/>
        <v>-1458</v>
      </c>
      <c r="H186" s="122"/>
      <c r="I186" s="123"/>
      <c r="J186" s="39">
        <f t="shared" si="107"/>
        <v>-1458</v>
      </c>
      <c r="K186" s="128"/>
      <c r="L186" s="128"/>
      <c r="M186" s="40">
        <f t="shared" si="108"/>
        <v>-1458</v>
      </c>
      <c r="N186" s="122"/>
      <c r="O186" s="123"/>
      <c r="P186" s="39">
        <f t="shared" si="109"/>
        <v>-1458</v>
      </c>
      <c r="Q186" s="128"/>
      <c r="R186" s="128"/>
      <c r="S186" s="40">
        <f t="shared" si="110"/>
        <v>-1458</v>
      </c>
      <c r="T186" s="122"/>
      <c r="U186" s="123"/>
      <c r="V186" s="49">
        <f t="shared" si="111"/>
        <v>-1458</v>
      </c>
      <c r="W186" s="143"/>
    </row>
    <row r="187" spans="1:23" ht="15.75" customHeight="1">
      <c r="A187" s="87"/>
      <c r="B187" s="77">
        <f ca="1">IFERROR(__xludf.DUMMYFUNCTION("DATE(VALUE(LEFT($B$2,4)),VALUE(MID($B$2,6,2)),VALUE(RIGHT($B$2,2)))
+ (VALUE(REGEXEXTRACT(INDIRECT(""A""&amp;ROW()+1),""\d+""))-1)*7
+ INT((COLUMN()-COLUMN($B187))/3)
"),46495)</f>
        <v>46495</v>
      </c>
      <c r="C187" s="81"/>
      <c r="D187" s="82"/>
      <c r="E187" s="77">
        <f ca="1">IFERROR(__xludf.DUMMYFUNCTION("DATE(VALUE(LEFT($B$2,4)),VALUE(MID($B$2,6,2)),VALUE(RIGHT($B$2,2)))
+ (VALUE(REGEXEXTRACT(INDIRECT(""A""&amp;ROW()+1),""\d+""))-1)*7
+ INT((COLUMN()-COLUMN($B187))/3)
"),46496)</f>
        <v>46496</v>
      </c>
      <c r="F187" s="81"/>
      <c r="G187" s="82"/>
      <c r="H187" s="77">
        <f ca="1">IFERROR(__xludf.DUMMYFUNCTION("DATE(VALUE(LEFT($B$2,4)),VALUE(MID($B$2,6,2)),VALUE(RIGHT($B$2,2)))
+ (VALUE(REGEXEXTRACT(INDIRECT(""A""&amp;ROW()+1),""\d+""))-1)*7
+ INT((COLUMN()-COLUMN($B187))/3)
"),46497)</f>
        <v>46497</v>
      </c>
      <c r="I187" s="81"/>
      <c r="J187" s="82"/>
      <c r="K187" s="77">
        <f ca="1">IFERROR(__xludf.DUMMYFUNCTION("DATE(VALUE(LEFT($B$2,4)),VALUE(MID($B$2,6,2)),VALUE(RIGHT($B$2,2)))
+ (VALUE(REGEXEXTRACT(INDIRECT(""A""&amp;ROW()+1),""\d+""))-1)*7
+ INT((COLUMN()-COLUMN($B187))/3)
"),46498)</f>
        <v>46498</v>
      </c>
      <c r="L187" s="81"/>
      <c r="M187" s="82"/>
      <c r="N187" s="77">
        <f ca="1">IFERROR(__xludf.DUMMYFUNCTION("DATE(VALUE(LEFT($B$2,4)),VALUE(MID($B$2,6,2)),VALUE(RIGHT($B$2,2)))
+ (VALUE(REGEXEXTRACT(INDIRECT(""A""&amp;ROW()+1),""\d+""))-1)*7
+ INT((COLUMN()-COLUMN($B187))/3)
"),46499)</f>
        <v>46499</v>
      </c>
      <c r="O187" s="81"/>
      <c r="P187" s="82"/>
      <c r="Q187" s="77">
        <f ca="1">IFERROR(__xludf.DUMMYFUNCTION("DATE(VALUE(LEFT($B$2,4)),VALUE(MID($B$2,6,2)),VALUE(RIGHT($B$2,2)))
+ (VALUE(REGEXEXTRACT(INDIRECT(""A""&amp;ROW()+1),""\d+""))-1)*7
+ INT((COLUMN()-COLUMN($B187))/3)
"),46500)</f>
        <v>46500</v>
      </c>
      <c r="R187" s="81"/>
      <c r="S187" s="82"/>
      <c r="T187" s="77">
        <f ca="1">IFERROR(__xludf.DUMMYFUNCTION("DATE(VALUE(LEFT($B$2,4)),VALUE(MID($B$2,6,2)),VALUE(RIGHT($B$2,2)))
+ (VALUE(REGEXEXTRACT(INDIRECT(""A""&amp;ROW()+1),""\d+""))-1)*7
+ INT((COLUMN()-COLUMN($B187))/3)
"),46501)</f>
        <v>46501</v>
      </c>
      <c r="U187" s="81"/>
      <c r="V187" s="82"/>
      <c r="W187" s="52" t="s">
        <v>20</v>
      </c>
    </row>
    <row r="188" spans="1:23" ht="15.75" customHeight="1">
      <c r="A188" s="47" t="s">
        <v>152</v>
      </c>
      <c r="B188" s="113"/>
      <c r="C188" s="109"/>
      <c r="D188" s="42">
        <f>V186+C188</f>
        <v>-1458</v>
      </c>
      <c r="E188" s="112"/>
      <c r="F188" s="111"/>
      <c r="G188" s="36">
        <f>D198+F188</f>
        <v>-1458</v>
      </c>
      <c r="H188" s="132"/>
      <c r="I188" s="109"/>
      <c r="J188" s="42">
        <f>G198+I188</f>
        <v>-1458</v>
      </c>
      <c r="K188" s="112"/>
      <c r="L188" s="111"/>
      <c r="M188" s="18">
        <f>J198+L188</f>
        <v>-1458</v>
      </c>
      <c r="N188" s="113"/>
      <c r="O188" s="109"/>
      <c r="P188" s="35">
        <f>M198+O188</f>
        <v>-1458</v>
      </c>
      <c r="Q188" s="112"/>
      <c r="R188" s="111"/>
      <c r="S188" s="18">
        <f>P198+R188</f>
        <v>-1458</v>
      </c>
      <c r="T188" s="113"/>
      <c r="U188" s="109"/>
      <c r="V188" s="50">
        <f>S198+U188</f>
        <v>-1458</v>
      </c>
      <c r="W188" s="172"/>
    </row>
    <row r="189" spans="1:23" ht="15.75" customHeight="1">
      <c r="A189" s="114"/>
      <c r="B189" s="118"/>
      <c r="C189" s="117"/>
      <c r="D189" s="19">
        <f t="shared" ref="D189:D198" si="112">D188+C189</f>
        <v>-1458</v>
      </c>
      <c r="E189" s="106"/>
      <c r="F189" s="107"/>
      <c r="G189" s="26">
        <f t="shared" ref="G189:G198" si="113">G188+F189</f>
        <v>-1458</v>
      </c>
      <c r="H189" s="133"/>
      <c r="I189" s="117"/>
      <c r="J189" s="19">
        <f t="shared" ref="J189:J198" si="114">J188+I189</f>
        <v>-1458</v>
      </c>
      <c r="K189" s="106"/>
      <c r="L189" s="107"/>
      <c r="M189" s="26">
        <f t="shared" ref="M189:M198" si="115">M188+L189</f>
        <v>-1458</v>
      </c>
      <c r="N189" s="117"/>
      <c r="O189" s="117"/>
      <c r="P189" s="38">
        <f t="shared" ref="P189:P198" si="116">P188+O189</f>
        <v>-1458</v>
      </c>
      <c r="Q189" s="106"/>
      <c r="R189" s="107"/>
      <c r="S189" s="26">
        <f t="shared" ref="S189:S198" si="117">S188+R189</f>
        <v>-1458</v>
      </c>
      <c r="T189" s="136"/>
      <c r="U189" s="136"/>
      <c r="V189" s="45">
        <f t="shared" ref="V189:V198" si="118">V188+U189</f>
        <v>-1458</v>
      </c>
      <c r="W189" s="143"/>
    </row>
    <row r="190" spans="1:23" ht="15.75" customHeight="1">
      <c r="A190" s="114"/>
      <c r="B190" s="118"/>
      <c r="C190" s="117"/>
      <c r="D190" s="19">
        <f t="shared" si="112"/>
        <v>-1458</v>
      </c>
      <c r="E190" s="106"/>
      <c r="F190" s="107"/>
      <c r="G190" s="26">
        <f t="shared" si="113"/>
        <v>-1458</v>
      </c>
      <c r="H190" s="133"/>
      <c r="I190" s="117"/>
      <c r="J190" s="19">
        <f t="shared" si="114"/>
        <v>-1458</v>
      </c>
      <c r="K190" s="106"/>
      <c r="L190" s="107"/>
      <c r="M190" s="26">
        <f t="shared" si="115"/>
        <v>-1458</v>
      </c>
      <c r="N190" s="117"/>
      <c r="O190" s="117"/>
      <c r="P190" s="38">
        <f t="shared" si="116"/>
        <v>-1458</v>
      </c>
      <c r="Q190" s="106"/>
      <c r="R190" s="107"/>
      <c r="S190" s="26">
        <f t="shared" si="117"/>
        <v>-1458</v>
      </c>
      <c r="T190" s="136"/>
      <c r="U190" s="136"/>
      <c r="V190" s="45">
        <f t="shared" si="118"/>
        <v>-1458</v>
      </c>
      <c r="W190" s="143"/>
    </row>
    <row r="191" spans="1:23" ht="15.75" customHeight="1">
      <c r="A191" s="114"/>
      <c r="B191" s="118"/>
      <c r="C191" s="117"/>
      <c r="D191" s="19">
        <f t="shared" si="112"/>
        <v>-1458</v>
      </c>
      <c r="E191" s="106"/>
      <c r="F191" s="107"/>
      <c r="G191" s="26">
        <f t="shared" si="113"/>
        <v>-1458</v>
      </c>
      <c r="H191" s="133"/>
      <c r="I191" s="117"/>
      <c r="J191" s="19">
        <f t="shared" si="114"/>
        <v>-1458</v>
      </c>
      <c r="K191" s="106"/>
      <c r="L191" s="107"/>
      <c r="M191" s="26">
        <f t="shared" si="115"/>
        <v>-1458</v>
      </c>
      <c r="N191" s="117"/>
      <c r="O191" s="117"/>
      <c r="P191" s="38">
        <f t="shared" si="116"/>
        <v>-1458</v>
      </c>
      <c r="Q191" s="106"/>
      <c r="R191" s="107"/>
      <c r="S191" s="26">
        <f t="shared" si="117"/>
        <v>-1458</v>
      </c>
      <c r="T191" s="136"/>
      <c r="U191" s="136"/>
      <c r="V191" s="45">
        <f t="shared" si="118"/>
        <v>-1458</v>
      </c>
      <c r="W191" s="143"/>
    </row>
    <row r="192" spans="1:23" ht="15.75" customHeight="1">
      <c r="A192" s="114"/>
      <c r="B192" s="118"/>
      <c r="C192" s="117"/>
      <c r="D192" s="19">
        <f t="shared" si="112"/>
        <v>-1458</v>
      </c>
      <c r="E192" s="106"/>
      <c r="F192" s="107"/>
      <c r="G192" s="26">
        <f t="shared" si="113"/>
        <v>-1458</v>
      </c>
      <c r="H192" s="133"/>
      <c r="I192" s="117"/>
      <c r="J192" s="19">
        <f t="shared" si="114"/>
        <v>-1458</v>
      </c>
      <c r="K192" s="106"/>
      <c r="L192" s="107"/>
      <c r="M192" s="26">
        <f t="shared" si="115"/>
        <v>-1458</v>
      </c>
      <c r="N192" s="117"/>
      <c r="O192" s="117"/>
      <c r="P192" s="38">
        <f t="shared" si="116"/>
        <v>-1458</v>
      </c>
      <c r="Q192" s="106"/>
      <c r="R192" s="107"/>
      <c r="S192" s="26">
        <f t="shared" si="117"/>
        <v>-1458</v>
      </c>
      <c r="T192" s="136"/>
      <c r="U192" s="136"/>
      <c r="V192" s="45">
        <f t="shared" si="118"/>
        <v>-1458</v>
      </c>
      <c r="W192" s="143"/>
    </row>
    <row r="193" spans="1:23" ht="15.75" customHeight="1">
      <c r="A193" s="114"/>
      <c r="B193" s="118"/>
      <c r="C193" s="117"/>
      <c r="D193" s="19">
        <f t="shared" si="112"/>
        <v>-1458</v>
      </c>
      <c r="E193" s="106"/>
      <c r="F193" s="107"/>
      <c r="G193" s="26">
        <f t="shared" si="113"/>
        <v>-1458</v>
      </c>
      <c r="H193" s="133"/>
      <c r="I193" s="117"/>
      <c r="J193" s="19">
        <f t="shared" si="114"/>
        <v>-1458</v>
      </c>
      <c r="K193" s="106"/>
      <c r="L193" s="107"/>
      <c r="M193" s="26">
        <f t="shared" si="115"/>
        <v>-1458</v>
      </c>
      <c r="N193" s="118"/>
      <c r="O193" s="117"/>
      <c r="P193" s="38">
        <f t="shared" si="116"/>
        <v>-1458</v>
      </c>
      <c r="Q193" s="106"/>
      <c r="R193" s="107"/>
      <c r="S193" s="26">
        <f t="shared" si="117"/>
        <v>-1458</v>
      </c>
      <c r="T193" s="136"/>
      <c r="U193" s="136"/>
      <c r="V193" s="45">
        <f t="shared" si="118"/>
        <v>-1458</v>
      </c>
      <c r="W193" s="143"/>
    </row>
    <row r="194" spans="1:23" ht="15.75" customHeight="1">
      <c r="A194" s="114"/>
      <c r="B194" s="117"/>
      <c r="C194" s="117"/>
      <c r="D194" s="19">
        <f t="shared" si="112"/>
        <v>-1458</v>
      </c>
      <c r="E194" s="106"/>
      <c r="F194" s="107"/>
      <c r="G194" s="26">
        <f t="shared" si="113"/>
        <v>-1458</v>
      </c>
      <c r="H194" s="133"/>
      <c r="I194" s="117"/>
      <c r="J194" s="19">
        <f t="shared" si="114"/>
        <v>-1458</v>
      </c>
      <c r="K194" s="106"/>
      <c r="L194" s="107"/>
      <c r="M194" s="26">
        <f t="shared" si="115"/>
        <v>-1458</v>
      </c>
      <c r="N194" s="117"/>
      <c r="O194" s="117"/>
      <c r="P194" s="38">
        <f t="shared" si="116"/>
        <v>-1458</v>
      </c>
      <c r="Q194" s="106"/>
      <c r="R194" s="107"/>
      <c r="S194" s="26">
        <f t="shared" si="117"/>
        <v>-1458</v>
      </c>
      <c r="T194" s="136"/>
      <c r="U194" s="136"/>
      <c r="V194" s="45">
        <f t="shared" si="118"/>
        <v>-1458</v>
      </c>
      <c r="W194" s="143"/>
    </row>
    <row r="195" spans="1:23" ht="15.75" customHeight="1">
      <c r="A195" s="114"/>
      <c r="B195" s="117"/>
      <c r="C195" s="117"/>
      <c r="D195" s="19">
        <f t="shared" si="112"/>
        <v>-1458</v>
      </c>
      <c r="E195" s="106"/>
      <c r="F195" s="107"/>
      <c r="G195" s="26">
        <f t="shared" si="113"/>
        <v>-1458</v>
      </c>
      <c r="H195" s="133"/>
      <c r="I195" s="117"/>
      <c r="J195" s="19">
        <f t="shared" si="114"/>
        <v>-1458</v>
      </c>
      <c r="K195" s="106"/>
      <c r="L195" s="107"/>
      <c r="M195" s="26">
        <f t="shared" si="115"/>
        <v>-1458</v>
      </c>
      <c r="N195" s="117"/>
      <c r="O195" s="117"/>
      <c r="P195" s="38">
        <f t="shared" si="116"/>
        <v>-1458</v>
      </c>
      <c r="Q195" s="106"/>
      <c r="R195" s="107"/>
      <c r="S195" s="26">
        <f t="shared" si="117"/>
        <v>-1458</v>
      </c>
      <c r="T195" s="136"/>
      <c r="U195" s="136"/>
      <c r="V195" s="45">
        <f t="shared" si="118"/>
        <v>-1458</v>
      </c>
      <c r="W195" s="143"/>
    </row>
    <row r="196" spans="1:23" ht="15.75" customHeight="1">
      <c r="A196" s="114"/>
      <c r="B196" s="117"/>
      <c r="C196" s="117"/>
      <c r="D196" s="19">
        <f t="shared" si="112"/>
        <v>-1458</v>
      </c>
      <c r="E196" s="106"/>
      <c r="F196" s="107"/>
      <c r="G196" s="26">
        <f t="shared" si="113"/>
        <v>-1458</v>
      </c>
      <c r="H196" s="133"/>
      <c r="I196" s="117"/>
      <c r="J196" s="19">
        <f t="shared" si="114"/>
        <v>-1458</v>
      </c>
      <c r="K196" s="106"/>
      <c r="L196" s="107"/>
      <c r="M196" s="26">
        <f t="shared" si="115"/>
        <v>-1458</v>
      </c>
      <c r="N196" s="117"/>
      <c r="O196" s="117"/>
      <c r="P196" s="38">
        <f t="shared" si="116"/>
        <v>-1458</v>
      </c>
      <c r="Q196" s="106"/>
      <c r="R196" s="107"/>
      <c r="S196" s="26">
        <f t="shared" si="117"/>
        <v>-1458</v>
      </c>
      <c r="T196" s="136"/>
      <c r="U196" s="136"/>
      <c r="V196" s="45">
        <f t="shared" si="118"/>
        <v>-1458</v>
      </c>
      <c r="W196" s="143"/>
    </row>
    <row r="197" spans="1:23" ht="15.75" customHeight="1">
      <c r="A197" s="114"/>
      <c r="B197" s="117"/>
      <c r="C197" s="117"/>
      <c r="D197" s="19">
        <f t="shared" si="112"/>
        <v>-1458</v>
      </c>
      <c r="E197" s="122"/>
      <c r="F197" s="123"/>
      <c r="G197" s="26">
        <f t="shared" si="113"/>
        <v>-1458</v>
      </c>
      <c r="H197" s="133"/>
      <c r="I197" s="117"/>
      <c r="J197" s="19">
        <f t="shared" si="114"/>
        <v>-1458</v>
      </c>
      <c r="K197" s="122"/>
      <c r="L197" s="123"/>
      <c r="M197" s="26">
        <f t="shared" si="115"/>
        <v>-1458</v>
      </c>
      <c r="N197" s="117"/>
      <c r="O197" s="117"/>
      <c r="P197" s="38">
        <f t="shared" si="116"/>
        <v>-1458</v>
      </c>
      <c r="Q197" s="122"/>
      <c r="R197" s="123"/>
      <c r="S197" s="26">
        <f t="shared" si="117"/>
        <v>-1458</v>
      </c>
      <c r="T197" s="136"/>
      <c r="U197" s="136"/>
      <c r="V197" s="45">
        <f t="shared" si="118"/>
        <v>-1458</v>
      </c>
      <c r="W197" s="143"/>
    </row>
    <row r="198" spans="1:23" ht="15.75" customHeight="1">
      <c r="A198" s="114"/>
      <c r="B198" s="128"/>
      <c r="C198" s="128"/>
      <c r="D198" s="29">
        <f t="shared" si="112"/>
        <v>-1458</v>
      </c>
      <c r="E198" s="122"/>
      <c r="F198" s="123"/>
      <c r="G198" s="39">
        <f t="shared" si="113"/>
        <v>-1458</v>
      </c>
      <c r="H198" s="140"/>
      <c r="I198" s="128"/>
      <c r="J198" s="29">
        <f t="shared" si="114"/>
        <v>-1458</v>
      </c>
      <c r="K198" s="122"/>
      <c r="L198" s="123"/>
      <c r="M198" s="39">
        <f t="shared" si="115"/>
        <v>-1458</v>
      </c>
      <c r="N198" s="128"/>
      <c r="O198" s="128"/>
      <c r="P198" s="40">
        <f t="shared" si="116"/>
        <v>-1458</v>
      </c>
      <c r="Q198" s="122"/>
      <c r="R198" s="123"/>
      <c r="S198" s="39">
        <f t="shared" si="117"/>
        <v>-1458</v>
      </c>
      <c r="T198" s="141"/>
      <c r="U198" s="141"/>
      <c r="V198" s="46">
        <f t="shared" si="118"/>
        <v>-1458</v>
      </c>
      <c r="W198" s="143"/>
    </row>
    <row r="199" spans="1:23" ht="15.75" customHeight="1">
      <c r="A199" s="87"/>
      <c r="B199" s="77">
        <f ca="1">IFERROR(__xludf.DUMMYFUNCTION("DATE(VALUE(LEFT($B$2,4)),VALUE(MID($B$2,6,2)),VALUE(RIGHT($B$2,2)))
+ (VALUE(REGEXEXTRACT(INDIRECT(""A""&amp;ROW()+1),""\d+""))-1)*7
+ INT((COLUMN()-COLUMN($B199))/3)
"),46502)</f>
        <v>46502</v>
      </c>
      <c r="C199" s="81"/>
      <c r="D199" s="82"/>
      <c r="E199" s="77">
        <f ca="1">IFERROR(__xludf.DUMMYFUNCTION("DATE(VALUE(LEFT($B$2,4)),VALUE(MID($B$2,6,2)),VALUE(RIGHT($B$2,2)))
+ (VALUE(REGEXEXTRACT(INDIRECT(""A""&amp;ROW()+1),""\d+""))-1)*7
+ INT((COLUMN()-COLUMN($B199))/3)
"),46503)</f>
        <v>46503</v>
      </c>
      <c r="F199" s="81"/>
      <c r="G199" s="82"/>
      <c r="H199" s="77">
        <f ca="1">IFERROR(__xludf.DUMMYFUNCTION("DATE(VALUE(LEFT($B$2,4)),VALUE(MID($B$2,6,2)),VALUE(RIGHT($B$2,2)))
+ (VALUE(REGEXEXTRACT(INDIRECT(""A""&amp;ROW()+1),""\d+""))-1)*7
+ INT((COLUMN()-COLUMN($B199))/3)
"),46504)</f>
        <v>46504</v>
      </c>
      <c r="I199" s="81"/>
      <c r="J199" s="82"/>
      <c r="K199" s="77">
        <f ca="1">IFERROR(__xludf.DUMMYFUNCTION("DATE(VALUE(LEFT($B$2,4)),VALUE(MID($B$2,6,2)),VALUE(RIGHT($B$2,2)))
+ (VALUE(REGEXEXTRACT(INDIRECT(""A""&amp;ROW()+1),""\d+""))-1)*7
+ INT((COLUMN()-COLUMN($B199))/3)
"),46505)</f>
        <v>46505</v>
      </c>
      <c r="L199" s="81"/>
      <c r="M199" s="82"/>
      <c r="N199" s="77">
        <f ca="1">IFERROR(__xludf.DUMMYFUNCTION("DATE(VALUE(LEFT($B$2,4)),VALUE(MID($B$2,6,2)),VALUE(RIGHT($B$2,2)))
+ (VALUE(REGEXEXTRACT(INDIRECT(""A""&amp;ROW()+1),""\d+""))-1)*7
+ INT((COLUMN()-COLUMN($B199))/3)
"),46506)</f>
        <v>46506</v>
      </c>
      <c r="O199" s="81"/>
      <c r="P199" s="82"/>
      <c r="Q199" s="77">
        <f ca="1">IFERROR(__xludf.DUMMYFUNCTION("DATE(VALUE(LEFT($B$2,4)),VALUE(MID($B$2,6,2)),VALUE(RIGHT($B$2,2)))
+ (VALUE(REGEXEXTRACT(INDIRECT(""A""&amp;ROW()+1),""\d+""))-1)*7
+ INT((COLUMN()-COLUMN($B199))/3)
"),46507)</f>
        <v>46507</v>
      </c>
      <c r="R199" s="81"/>
      <c r="S199" s="82"/>
      <c r="T199" s="77">
        <f ca="1">IFERROR(__xludf.DUMMYFUNCTION("DATE(VALUE(LEFT($B$2,4)),VALUE(MID($B$2,6,2)),VALUE(RIGHT($B$2,2)))
+ (VALUE(REGEXEXTRACT(INDIRECT(""A""&amp;ROW()+1),""\d+""))-1)*7
+ INT((COLUMN()-COLUMN($B199))/3)
"),46508)</f>
        <v>46508</v>
      </c>
      <c r="U199" s="81"/>
      <c r="V199" s="82"/>
      <c r="W199" s="143"/>
    </row>
    <row r="200" spans="1:23" ht="15.75" customHeight="1">
      <c r="A200" s="51" t="s">
        <v>29</v>
      </c>
      <c r="B200" s="112"/>
      <c r="C200" s="111"/>
      <c r="D200" s="17">
        <f>V198+C200</f>
        <v>-1458</v>
      </c>
      <c r="E200" s="109"/>
      <c r="F200" s="109"/>
      <c r="G200" s="54">
        <f>D210+F200</f>
        <v>-1458</v>
      </c>
      <c r="H200" s="110"/>
      <c r="I200" s="111"/>
      <c r="J200" s="17">
        <f>G210+I200</f>
        <v>-1458</v>
      </c>
      <c r="K200" s="109"/>
      <c r="L200" s="109"/>
      <c r="M200" s="35">
        <f>J210+L200</f>
        <v>-1458</v>
      </c>
      <c r="N200" s="112"/>
      <c r="O200" s="111"/>
      <c r="P200" s="17">
        <f>M210+O200</f>
        <v>-1458</v>
      </c>
      <c r="Q200" s="113"/>
      <c r="R200" s="109"/>
      <c r="S200" s="35">
        <f>P210+R200</f>
        <v>-1458</v>
      </c>
      <c r="T200" s="112"/>
      <c r="U200" s="111"/>
      <c r="V200" s="48">
        <f>S210+U200</f>
        <v>-1458</v>
      </c>
      <c r="W200" s="143"/>
    </row>
    <row r="201" spans="1:23" ht="15.75" customHeight="1">
      <c r="A201" s="114"/>
      <c r="B201" s="106"/>
      <c r="C201" s="107"/>
      <c r="D201" s="26">
        <f t="shared" ref="D201:D210" si="119">D200+C201</f>
        <v>-1458</v>
      </c>
      <c r="E201" s="117"/>
      <c r="F201" s="117"/>
      <c r="G201" s="19">
        <f t="shared" ref="G201:G210" si="120">G200+F201</f>
        <v>-1458</v>
      </c>
      <c r="H201" s="116"/>
      <c r="I201" s="107"/>
      <c r="J201" s="26">
        <f t="shared" ref="J201:J210" si="121">J200+I201</f>
        <v>-1458</v>
      </c>
      <c r="K201" s="117"/>
      <c r="L201" s="117"/>
      <c r="M201" s="38">
        <f t="shared" ref="M201:M210" si="122">M200+L201</f>
        <v>-1458</v>
      </c>
      <c r="N201" s="106"/>
      <c r="O201" s="107"/>
      <c r="P201" s="26">
        <f t="shared" ref="P201:P210" si="123">P200+O201</f>
        <v>-1458</v>
      </c>
      <c r="Q201" s="118"/>
      <c r="R201" s="117"/>
      <c r="S201" s="38">
        <f t="shared" ref="S201:S210" si="124">S200+R201</f>
        <v>-1458</v>
      </c>
      <c r="T201" s="106"/>
      <c r="U201" s="107"/>
      <c r="V201" s="20">
        <f t="shared" ref="V201:V210" si="125">V200+U201</f>
        <v>-1458</v>
      </c>
      <c r="W201" s="143"/>
    </row>
    <row r="202" spans="1:23" ht="15.75" customHeight="1">
      <c r="A202" s="114"/>
      <c r="B202" s="106"/>
      <c r="C202" s="107"/>
      <c r="D202" s="26">
        <f t="shared" si="119"/>
        <v>-1458</v>
      </c>
      <c r="E202" s="117"/>
      <c r="F202" s="117"/>
      <c r="G202" s="19">
        <f t="shared" si="120"/>
        <v>-1458</v>
      </c>
      <c r="H202" s="106"/>
      <c r="I202" s="107"/>
      <c r="J202" s="26">
        <f t="shared" si="121"/>
        <v>-1458</v>
      </c>
      <c r="K202" s="117"/>
      <c r="L202" s="117"/>
      <c r="M202" s="38">
        <f t="shared" si="122"/>
        <v>-1458</v>
      </c>
      <c r="N202" s="106"/>
      <c r="O202" s="107"/>
      <c r="P202" s="26">
        <f t="shared" si="123"/>
        <v>-1458</v>
      </c>
      <c r="Q202" s="118"/>
      <c r="R202" s="117"/>
      <c r="S202" s="38">
        <f t="shared" si="124"/>
        <v>-1458</v>
      </c>
      <c r="T202" s="106"/>
      <c r="U202" s="107"/>
      <c r="V202" s="20">
        <f t="shared" si="125"/>
        <v>-1458</v>
      </c>
      <c r="W202" s="143"/>
    </row>
    <row r="203" spans="1:23" ht="15.75" customHeight="1">
      <c r="A203" s="114"/>
      <c r="B203" s="106"/>
      <c r="C203" s="107"/>
      <c r="D203" s="26">
        <f t="shared" si="119"/>
        <v>-1458</v>
      </c>
      <c r="E203" s="117"/>
      <c r="F203" s="117"/>
      <c r="G203" s="19">
        <f t="shared" si="120"/>
        <v>-1458</v>
      </c>
      <c r="H203" s="106"/>
      <c r="I203" s="107"/>
      <c r="J203" s="26">
        <f t="shared" si="121"/>
        <v>-1458</v>
      </c>
      <c r="K203" s="117"/>
      <c r="L203" s="117"/>
      <c r="M203" s="38">
        <f t="shared" si="122"/>
        <v>-1458</v>
      </c>
      <c r="N203" s="106"/>
      <c r="O203" s="107"/>
      <c r="P203" s="26">
        <f t="shared" si="123"/>
        <v>-1458</v>
      </c>
      <c r="Q203" s="118"/>
      <c r="R203" s="117"/>
      <c r="S203" s="38">
        <f t="shared" si="124"/>
        <v>-1458</v>
      </c>
      <c r="T203" s="106"/>
      <c r="U203" s="107"/>
      <c r="V203" s="20">
        <f t="shared" si="125"/>
        <v>-1458</v>
      </c>
      <c r="W203" s="143"/>
    </row>
    <row r="204" spans="1:23" ht="15.75" customHeight="1">
      <c r="A204" s="114"/>
      <c r="B204" s="106"/>
      <c r="C204" s="107"/>
      <c r="D204" s="26">
        <f t="shared" si="119"/>
        <v>-1458</v>
      </c>
      <c r="E204" s="117"/>
      <c r="F204" s="117"/>
      <c r="G204" s="19">
        <f t="shared" si="120"/>
        <v>-1458</v>
      </c>
      <c r="H204" s="106"/>
      <c r="I204" s="107"/>
      <c r="J204" s="26">
        <f t="shared" si="121"/>
        <v>-1458</v>
      </c>
      <c r="K204" s="117"/>
      <c r="L204" s="117"/>
      <c r="M204" s="38">
        <f t="shared" si="122"/>
        <v>-1458</v>
      </c>
      <c r="N204" s="106"/>
      <c r="O204" s="107"/>
      <c r="P204" s="26">
        <f t="shared" si="123"/>
        <v>-1458</v>
      </c>
      <c r="Q204" s="118"/>
      <c r="R204" s="117"/>
      <c r="S204" s="38">
        <f t="shared" si="124"/>
        <v>-1458</v>
      </c>
      <c r="T204" s="106"/>
      <c r="U204" s="107"/>
      <c r="V204" s="20">
        <f t="shared" si="125"/>
        <v>-1458</v>
      </c>
      <c r="W204" s="143"/>
    </row>
    <row r="205" spans="1:23" ht="15.75" customHeight="1">
      <c r="A205" s="114"/>
      <c r="B205" s="106"/>
      <c r="C205" s="107"/>
      <c r="D205" s="26">
        <f t="shared" si="119"/>
        <v>-1458</v>
      </c>
      <c r="E205" s="117"/>
      <c r="F205" s="117"/>
      <c r="G205" s="19">
        <f t="shared" si="120"/>
        <v>-1458</v>
      </c>
      <c r="H205" s="106"/>
      <c r="I205" s="107"/>
      <c r="J205" s="26">
        <f t="shared" si="121"/>
        <v>-1458</v>
      </c>
      <c r="K205" s="117"/>
      <c r="L205" s="117"/>
      <c r="M205" s="38">
        <f t="shared" si="122"/>
        <v>-1458</v>
      </c>
      <c r="N205" s="106"/>
      <c r="O205" s="107"/>
      <c r="P205" s="26">
        <f t="shared" si="123"/>
        <v>-1458</v>
      </c>
      <c r="Q205" s="118"/>
      <c r="R205" s="117"/>
      <c r="S205" s="38">
        <f t="shared" si="124"/>
        <v>-1458</v>
      </c>
      <c r="T205" s="106"/>
      <c r="U205" s="116"/>
      <c r="V205" s="20">
        <f t="shared" si="125"/>
        <v>-1458</v>
      </c>
      <c r="W205" s="143"/>
    </row>
    <row r="206" spans="1:23" ht="15.75" customHeight="1">
      <c r="A206" s="114"/>
      <c r="B206" s="106"/>
      <c r="C206" s="107"/>
      <c r="D206" s="26">
        <f t="shared" si="119"/>
        <v>-1458</v>
      </c>
      <c r="E206" s="117"/>
      <c r="F206" s="117"/>
      <c r="G206" s="19">
        <f t="shared" si="120"/>
        <v>-1458</v>
      </c>
      <c r="H206" s="106"/>
      <c r="I206" s="107"/>
      <c r="J206" s="26">
        <f t="shared" si="121"/>
        <v>-1458</v>
      </c>
      <c r="K206" s="117"/>
      <c r="L206" s="117"/>
      <c r="M206" s="38">
        <f t="shared" si="122"/>
        <v>-1458</v>
      </c>
      <c r="N206" s="106"/>
      <c r="O206" s="107"/>
      <c r="P206" s="26">
        <f t="shared" si="123"/>
        <v>-1458</v>
      </c>
      <c r="Q206" s="117"/>
      <c r="R206" s="117"/>
      <c r="S206" s="38">
        <f t="shared" si="124"/>
        <v>-1458</v>
      </c>
      <c r="T206" s="106"/>
      <c r="U206" s="116"/>
      <c r="V206" s="20">
        <f t="shared" si="125"/>
        <v>-1458</v>
      </c>
      <c r="W206" s="143"/>
    </row>
    <row r="207" spans="1:23" ht="15.75" customHeight="1">
      <c r="A207" s="114"/>
      <c r="B207" s="106"/>
      <c r="C207" s="107"/>
      <c r="D207" s="26">
        <f t="shared" si="119"/>
        <v>-1458</v>
      </c>
      <c r="E207" s="117"/>
      <c r="F207" s="117"/>
      <c r="G207" s="19">
        <f t="shared" si="120"/>
        <v>-1458</v>
      </c>
      <c r="H207" s="106"/>
      <c r="I207" s="107"/>
      <c r="J207" s="26">
        <f t="shared" si="121"/>
        <v>-1458</v>
      </c>
      <c r="K207" s="117"/>
      <c r="L207" s="117"/>
      <c r="M207" s="38">
        <f t="shared" si="122"/>
        <v>-1458</v>
      </c>
      <c r="N207" s="106"/>
      <c r="O207" s="107"/>
      <c r="P207" s="26">
        <f t="shared" si="123"/>
        <v>-1458</v>
      </c>
      <c r="Q207" s="118"/>
      <c r="R207" s="117"/>
      <c r="S207" s="38">
        <f t="shared" si="124"/>
        <v>-1458</v>
      </c>
      <c r="T207" s="106"/>
      <c r="U207" s="116"/>
      <c r="V207" s="20">
        <f t="shared" si="125"/>
        <v>-1458</v>
      </c>
      <c r="W207" s="143"/>
    </row>
    <row r="208" spans="1:23" ht="15.75" customHeight="1">
      <c r="A208" s="114"/>
      <c r="B208" s="122"/>
      <c r="C208" s="123"/>
      <c r="D208" s="26">
        <f t="shared" si="119"/>
        <v>-1458</v>
      </c>
      <c r="E208" s="117"/>
      <c r="F208" s="117"/>
      <c r="G208" s="19">
        <f t="shared" si="120"/>
        <v>-1458</v>
      </c>
      <c r="H208" s="122"/>
      <c r="I208" s="123"/>
      <c r="J208" s="26">
        <f t="shared" si="121"/>
        <v>-1458</v>
      </c>
      <c r="K208" s="117"/>
      <c r="L208" s="117"/>
      <c r="M208" s="38">
        <f t="shared" si="122"/>
        <v>-1458</v>
      </c>
      <c r="N208" s="106"/>
      <c r="O208" s="107"/>
      <c r="P208" s="26">
        <f t="shared" si="123"/>
        <v>-1458</v>
      </c>
      <c r="Q208" s="118"/>
      <c r="R208" s="117"/>
      <c r="S208" s="38">
        <f t="shared" si="124"/>
        <v>-1458</v>
      </c>
      <c r="T208" s="106"/>
      <c r="U208" s="116"/>
      <c r="V208" s="20">
        <f t="shared" si="125"/>
        <v>-1458</v>
      </c>
      <c r="W208" s="143"/>
    </row>
    <row r="209" spans="1:23" ht="15.75" customHeight="1">
      <c r="A209" s="114"/>
      <c r="B209" s="122"/>
      <c r="C209" s="123"/>
      <c r="D209" s="26">
        <f t="shared" si="119"/>
        <v>-1458</v>
      </c>
      <c r="E209" s="117"/>
      <c r="F209" s="117"/>
      <c r="G209" s="19">
        <f t="shared" si="120"/>
        <v>-1458</v>
      </c>
      <c r="H209" s="122"/>
      <c r="I209" s="123"/>
      <c r="J209" s="26">
        <f t="shared" si="121"/>
        <v>-1458</v>
      </c>
      <c r="K209" s="117"/>
      <c r="L209" s="117"/>
      <c r="M209" s="38">
        <f t="shared" si="122"/>
        <v>-1458</v>
      </c>
      <c r="N209" s="122"/>
      <c r="O209" s="123"/>
      <c r="P209" s="26">
        <f t="shared" si="123"/>
        <v>-1458</v>
      </c>
      <c r="Q209" s="117"/>
      <c r="R209" s="117"/>
      <c r="S209" s="38">
        <f t="shared" si="124"/>
        <v>-1458</v>
      </c>
      <c r="T209" s="122"/>
      <c r="U209" s="124"/>
      <c r="V209" s="20">
        <f t="shared" si="125"/>
        <v>-1458</v>
      </c>
      <c r="W209" s="143"/>
    </row>
    <row r="210" spans="1:23" ht="15.75" customHeight="1">
      <c r="A210" s="114"/>
      <c r="B210" s="122"/>
      <c r="C210" s="123"/>
      <c r="D210" s="39">
        <f t="shared" si="119"/>
        <v>-1458</v>
      </c>
      <c r="E210" s="128"/>
      <c r="F210" s="128"/>
      <c r="G210" s="29">
        <f t="shared" si="120"/>
        <v>-1458</v>
      </c>
      <c r="H210" s="122"/>
      <c r="I210" s="123"/>
      <c r="J210" s="39">
        <f t="shared" si="121"/>
        <v>-1458</v>
      </c>
      <c r="K210" s="128"/>
      <c r="L210" s="128"/>
      <c r="M210" s="40">
        <f t="shared" si="122"/>
        <v>-1458</v>
      </c>
      <c r="N210" s="122"/>
      <c r="O210" s="123"/>
      <c r="P210" s="39">
        <f t="shared" si="123"/>
        <v>-1458</v>
      </c>
      <c r="Q210" s="128"/>
      <c r="R210" s="128"/>
      <c r="S210" s="40">
        <f t="shared" si="124"/>
        <v>-1458</v>
      </c>
      <c r="T210" s="122"/>
      <c r="U210" s="123"/>
      <c r="V210" s="49">
        <f t="shared" si="125"/>
        <v>-1458</v>
      </c>
      <c r="W210" s="143"/>
    </row>
    <row r="211" spans="1:23" ht="15.75" customHeight="1">
      <c r="A211" s="87"/>
      <c r="B211" s="77">
        <f ca="1">IFERROR(__xludf.DUMMYFUNCTION("DATE(VALUE(LEFT($B$2,4)),VALUE(MID($B$2,6,2)),VALUE(RIGHT($B$2,2)))
+ (VALUE(REGEXEXTRACT(INDIRECT(""A""&amp;ROW()+1),""\d+""))-1)*7
+ INT((COLUMN()-COLUMN($B211))/3)
"),46509)</f>
        <v>46509</v>
      </c>
      <c r="C211" s="81"/>
      <c r="D211" s="82"/>
      <c r="E211" s="77">
        <f ca="1">IFERROR(__xludf.DUMMYFUNCTION("DATE(VALUE(LEFT($B$2,4)),VALUE(MID($B$2,6,2)),VALUE(RIGHT($B$2,2)))
+ (VALUE(REGEXEXTRACT(INDIRECT(""A""&amp;ROW()+1),""\d+""))-1)*7
+ INT((COLUMN()-COLUMN($B211))/3)
"),46510)</f>
        <v>46510</v>
      </c>
      <c r="F211" s="81"/>
      <c r="G211" s="82"/>
      <c r="H211" s="77">
        <f ca="1">IFERROR(__xludf.DUMMYFUNCTION("DATE(VALUE(LEFT($B$2,4)),VALUE(MID($B$2,6,2)),VALUE(RIGHT($B$2,2)))
+ (VALUE(REGEXEXTRACT(INDIRECT(""A""&amp;ROW()+1),""\d+""))-1)*7
+ INT((COLUMN()-COLUMN($B211))/3)
"),46511)</f>
        <v>46511</v>
      </c>
      <c r="I211" s="81"/>
      <c r="J211" s="82"/>
      <c r="K211" s="77">
        <f ca="1">IFERROR(__xludf.DUMMYFUNCTION("DATE(VALUE(LEFT($B$2,4)),VALUE(MID($B$2,6,2)),VALUE(RIGHT($B$2,2)))
+ (VALUE(REGEXEXTRACT(INDIRECT(""A""&amp;ROW()+1),""\d+""))-1)*7
+ INT((COLUMN()-COLUMN($B211))/3)
"),46512)</f>
        <v>46512</v>
      </c>
      <c r="L211" s="81"/>
      <c r="M211" s="82"/>
      <c r="N211" s="77">
        <f ca="1">IFERROR(__xludf.DUMMYFUNCTION("DATE(VALUE(LEFT($B$2,4)),VALUE(MID($B$2,6,2)),VALUE(RIGHT($B$2,2)))
+ (VALUE(REGEXEXTRACT(INDIRECT(""A""&amp;ROW()+1),""\d+""))-1)*7
+ INT((COLUMN()-COLUMN($B211))/3)
"),46513)</f>
        <v>46513</v>
      </c>
      <c r="O211" s="81"/>
      <c r="P211" s="82"/>
      <c r="Q211" s="77">
        <f ca="1">IFERROR(__xludf.DUMMYFUNCTION("DATE(VALUE(LEFT($B$2,4)),VALUE(MID($B$2,6,2)),VALUE(RIGHT($B$2,2)))
+ (VALUE(REGEXEXTRACT(INDIRECT(""A""&amp;ROW()+1),""\d+""))-1)*7
+ INT((COLUMN()-COLUMN($B211))/3)
"),46514)</f>
        <v>46514</v>
      </c>
      <c r="R211" s="81"/>
      <c r="S211" s="82"/>
      <c r="T211" s="77">
        <f ca="1">IFERROR(__xludf.DUMMYFUNCTION("DATE(VALUE(LEFT($B$2,4)),VALUE(MID($B$2,6,2)),VALUE(RIGHT($B$2,2)))
+ (VALUE(REGEXEXTRACT(INDIRECT(""A""&amp;ROW()+1),""\d+""))-1)*7
+ INT((COLUMN()-COLUMN($B211))/3)
"),46515)</f>
        <v>46515</v>
      </c>
      <c r="U211" s="81"/>
      <c r="V211" s="82"/>
      <c r="W211" s="52" t="s">
        <v>20</v>
      </c>
    </row>
    <row r="212" spans="1:23" ht="15.75" customHeight="1">
      <c r="A212" s="47" t="s">
        <v>51</v>
      </c>
      <c r="B212" s="109"/>
      <c r="C212" s="109"/>
      <c r="D212" s="42">
        <f>V210+C212</f>
        <v>-1458</v>
      </c>
      <c r="E212" s="112"/>
      <c r="F212" s="111"/>
      <c r="G212" s="36">
        <f>D222+F212</f>
        <v>-1458</v>
      </c>
      <c r="H212" s="132"/>
      <c r="I212" s="109"/>
      <c r="J212" s="42">
        <f>G222+I212</f>
        <v>-1458</v>
      </c>
      <c r="K212" s="112"/>
      <c r="L212" s="111"/>
      <c r="M212" s="18">
        <f>J222+L212</f>
        <v>-1458</v>
      </c>
      <c r="N212" s="113"/>
      <c r="O212" s="109"/>
      <c r="P212" s="35">
        <f>M222+O212</f>
        <v>-1458</v>
      </c>
      <c r="Q212" s="112"/>
      <c r="R212" s="111"/>
      <c r="S212" s="18">
        <f>P222+R212</f>
        <v>-1458</v>
      </c>
      <c r="T212" s="113"/>
      <c r="U212" s="109"/>
      <c r="V212" s="50">
        <f>S222+U212</f>
        <v>-1458</v>
      </c>
      <c r="W212" s="172"/>
    </row>
    <row r="213" spans="1:23" ht="15.75" customHeight="1">
      <c r="A213" s="114"/>
      <c r="B213" s="117"/>
      <c r="C213" s="117"/>
      <c r="D213" s="19">
        <f t="shared" ref="D213:D222" si="126">D212+C213</f>
        <v>-1458</v>
      </c>
      <c r="E213" s="106"/>
      <c r="F213" s="107"/>
      <c r="G213" s="26">
        <f t="shared" ref="G213:G222" si="127">G212+F213</f>
        <v>-1458</v>
      </c>
      <c r="H213" s="133"/>
      <c r="I213" s="117"/>
      <c r="J213" s="19">
        <f t="shared" ref="J213:J222" si="128">J212+I213</f>
        <v>-1458</v>
      </c>
      <c r="K213" s="106"/>
      <c r="L213" s="107"/>
      <c r="M213" s="26">
        <f t="shared" ref="M213:M222" si="129">M212+L213</f>
        <v>-1458</v>
      </c>
      <c r="N213" s="117"/>
      <c r="O213" s="117"/>
      <c r="P213" s="38">
        <f t="shared" ref="P213:P222" si="130">P212+O213</f>
        <v>-1458</v>
      </c>
      <c r="Q213" s="106"/>
      <c r="R213" s="107"/>
      <c r="S213" s="26">
        <f t="shared" ref="S213:S222" si="131">S212+R213</f>
        <v>-1458</v>
      </c>
      <c r="T213" s="136"/>
      <c r="U213" s="136"/>
      <c r="V213" s="45">
        <f t="shared" ref="V213:V222" si="132">V212+U213</f>
        <v>-1458</v>
      </c>
      <c r="W213" s="143"/>
    </row>
    <row r="214" spans="1:23" ht="15.75" customHeight="1">
      <c r="A214" s="114"/>
      <c r="B214" s="117"/>
      <c r="C214" s="117"/>
      <c r="D214" s="19">
        <f t="shared" si="126"/>
        <v>-1458</v>
      </c>
      <c r="E214" s="106"/>
      <c r="F214" s="107"/>
      <c r="G214" s="26">
        <f t="shared" si="127"/>
        <v>-1458</v>
      </c>
      <c r="H214" s="133"/>
      <c r="I214" s="117"/>
      <c r="J214" s="19">
        <f t="shared" si="128"/>
        <v>-1458</v>
      </c>
      <c r="K214" s="106"/>
      <c r="L214" s="107"/>
      <c r="M214" s="26">
        <f t="shared" si="129"/>
        <v>-1458</v>
      </c>
      <c r="N214" s="117"/>
      <c r="O214" s="117"/>
      <c r="P214" s="38">
        <f t="shared" si="130"/>
        <v>-1458</v>
      </c>
      <c r="Q214" s="106"/>
      <c r="R214" s="107"/>
      <c r="S214" s="26">
        <f t="shared" si="131"/>
        <v>-1458</v>
      </c>
      <c r="T214" s="136"/>
      <c r="U214" s="136"/>
      <c r="V214" s="45">
        <f t="shared" si="132"/>
        <v>-1458</v>
      </c>
      <c r="W214" s="143"/>
    </row>
    <row r="215" spans="1:23" ht="15.75" customHeight="1">
      <c r="A215" s="114"/>
      <c r="B215" s="117"/>
      <c r="C215" s="117"/>
      <c r="D215" s="19">
        <f t="shared" si="126"/>
        <v>-1458</v>
      </c>
      <c r="E215" s="106"/>
      <c r="F215" s="107"/>
      <c r="G215" s="26">
        <f t="shared" si="127"/>
        <v>-1458</v>
      </c>
      <c r="H215" s="133"/>
      <c r="I215" s="117"/>
      <c r="J215" s="19">
        <f t="shared" si="128"/>
        <v>-1458</v>
      </c>
      <c r="K215" s="106"/>
      <c r="L215" s="107"/>
      <c r="M215" s="26">
        <f t="shared" si="129"/>
        <v>-1458</v>
      </c>
      <c r="N215" s="117"/>
      <c r="O215" s="117"/>
      <c r="P215" s="38">
        <f t="shared" si="130"/>
        <v>-1458</v>
      </c>
      <c r="Q215" s="106"/>
      <c r="R215" s="107"/>
      <c r="S215" s="26">
        <f t="shared" si="131"/>
        <v>-1458</v>
      </c>
      <c r="T215" s="136"/>
      <c r="U215" s="136"/>
      <c r="V215" s="45">
        <f t="shared" si="132"/>
        <v>-1458</v>
      </c>
      <c r="W215" s="143"/>
    </row>
    <row r="216" spans="1:23" ht="15.75" customHeight="1">
      <c r="A216" s="114"/>
      <c r="B216" s="117"/>
      <c r="C216" s="117"/>
      <c r="D216" s="19">
        <f t="shared" si="126"/>
        <v>-1458</v>
      </c>
      <c r="E216" s="106"/>
      <c r="F216" s="107"/>
      <c r="G216" s="26">
        <f t="shared" si="127"/>
        <v>-1458</v>
      </c>
      <c r="H216" s="133"/>
      <c r="I216" s="117"/>
      <c r="J216" s="19">
        <f t="shared" si="128"/>
        <v>-1458</v>
      </c>
      <c r="K216" s="106"/>
      <c r="L216" s="107"/>
      <c r="M216" s="26">
        <f t="shared" si="129"/>
        <v>-1458</v>
      </c>
      <c r="N216" s="117"/>
      <c r="O216" s="117"/>
      <c r="P216" s="38">
        <f t="shared" si="130"/>
        <v>-1458</v>
      </c>
      <c r="Q216" s="106"/>
      <c r="R216" s="107"/>
      <c r="S216" s="26">
        <f t="shared" si="131"/>
        <v>-1458</v>
      </c>
      <c r="T216" s="136"/>
      <c r="U216" s="136"/>
      <c r="V216" s="45">
        <f t="shared" si="132"/>
        <v>-1458</v>
      </c>
      <c r="W216" s="143"/>
    </row>
    <row r="217" spans="1:23" ht="15.75" customHeight="1">
      <c r="A217" s="114"/>
      <c r="B217" s="117"/>
      <c r="C217" s="117"/>
      <c r="D217" s="19">
        <f t="shared" si="126"/>
        <v>-1458</v>
      </c>
      <c r="E217" s="106"/>
      <c r="F217" s="107"/>
      <c r="G217" s="26">
        <f t="shared" si="127"/>
        <v>-1458</v>
      </c>
      <c r="H217" s="133"/>
      <c r="I217" s="117"/>
      <c r="J217" s="19">
        <f t="shared" si="128"/>
        <v>-1458</v>
      </c>
      <c r="K217" s="106"/>
      <c r="L217" s="107"/>
      <c r="M217" s="26">
        <f t="shared" si="129"/>
        <v>-1458</v>
      </c>
      <c r="N217" s="117"/>
      <c r="O217" s="117"/>
      <c r="P217" s="38">
        <f t="shared" si="130"/>
        <v>-1458</v>
      </c>
      <c r="Q217" s="106"/>
      <c r="R217" s="107"/>
      <c r="S217" s="26">
        <f t="shared" si="131"/>
        <v>-1458</v>
      </c>
      <c r="T217" s="136"/>
      <c r="U217" s="136"/>
      <c r="V217" s="45">
        <f t="shared" si="132"/>
        <v>-1458</v>
      </c>
      <c r="W217" s="143"/>
    </row>
    <row r="218" spans="1:23" ht="15.75" customHeight="1">
      <c r="A218" s="114"/>
      <c r="B218" s="117"/>
      <c r="C218" s="117"/>
      <c r="D218" s="19">
        <f t="shared" si="126"/>
        <v>-1458</v>
      </c>
      <c r="E218" s="106"/>
      <c r="F218" s="107"/>
      <c r="G218" s="26">
        <f t="shared" si="127"/>
        <v>-1458</v>
      </c>
      <c r="H218" s="133"/>
      <c r="I218" s="117"/>
      <c r="J218" s="19">
        <f t="shared" si="128"/>
        <v>-1458</v>
      </c>
      <c r="K218" s="106"/>
      <c r="L218" s="107"/>
      <c r="M218" s="26">
        <f t="shared" si="129"/>
        <v>-1458</v>
      </c>
      <c r="N218" s="118"/>
      <c r="O218" s="117"/>
      <c r="P218" s="38">
        <f t="shared" si="130"/>
        <v>-1458</v>
      </c>
      <c r="Q218" s="106"/>
      <c r="R218" s="107"/>
      <c r="S218" s="26">
        <f t="shared" si="131"/>
        <v>-1458</v>
      </c>
      <c r="T218" s="136"/>
      <c r="U218" s="136"/>
      <c r="V218" s="45">
        <f t="shared" si="132"/>
        <v>-1458</v>
      </c>
      <c r="W218" s="143"/>
    </row>
    <row r="219" spans="1:23" ht="15.75" customHeight="1">
      <c r="A219" s="114"/>
      <c r="B219" s="117"/>
      <c r="C219" s="117"/>
      <c r="D219" s="19">
        <f t="shared" si="126"/>
        <v>-1458</v>
      </c>
      <c r="E219" s="106"/>
      <c r="F219" s="107"/>
      <c r="G219" s="26">
        <f t="shared" si="127"/>
        <v>-1458</v>
      </c>
      <c r="H219" s="133"/>
      <c r="I219" s="117"/>
      <c r="J219" s="19">
        <f t="shared" si="128"/>
        <v>-1458</v>
      </c>
      <c r="K219" s="106"/>
      <c r="L219" s="107"/>
      <c r="M219" s="26">
        <f t="shared" si="129"/>
        <v>-1458</v>
      </c>
      <c r="N219" s="117"/>
      <c r="O219" s="117"/>
      <c r="P219" s="38">
        <f t="shared" si="130"/>
        <v>-1458</v>
      </c>
      <c r="Q219" s="106"/>
      <c r="R219" s="107"/>
      <c r="S219" s="26">
        <f t="shared" si="131"/>
        <v>-1458</v>
      </c>
      <c r="T219" s="136"/>
      <c r="U219" s="136"/>
      <c r="V219" s="45">
        <f t="shared" si="132"/>
        <v>-1458</v>
      </c>
      <c r="W219" s="143"/>
    </row>
    <row r="220" spans="1:23" ht="15.75" customHeight="1">
      <c r="A220" s="114"/>
      <c r="B220" s="117"/>
      <c r="C220" s="117"/>
      <c r="D220" s="19">
        <f t="shared" si="126"/>
        <v>-1458</v>
      </c>
      <c r="E220" s="106"/>
      <c r="F220" s="107"/>
      <c r="G220" s="26">
        <f t="shared" si="127"/>
        <v>-1458</v>
      </c>
      <c r="H220" s="133"/>
      <c r="I220" s="117"/>
      <c r="J220" s="19">
        <f t="shared" si="128"/>
        <v>-1458</v>
      </c>
      <c r="K220" s="106"/>
      <c r="L220" s="107"/>
      <c r="M220" s="26">
        <f t="shared" si="129"/>
        <v>-1458</v>
      </c>
      <c r="N220" s="117"/>
      <c r="O220" s="117"/>
      <c r="P220" s="38">
        <f t="shared" si="130"/>
        <v>-1458</v>
      </c>
      <c r="Q220" s="106"/>
      <c r="R220" s="107"/>
      <c r="S220" s="26">
        <f t="shared" si="131"/>
        <v>-1458</v>
      </c>
      <c r="T220" s="136"/>
      <c r="U220" s="136"/>
      <c r="V220" s="45">
        <f t="shared" si="132"/>
        <v>-1458</v>
      </c>
      <c r="W220" s="143"/>
    </row>
    <row r="221" spans="1:23" ht="15.75" customHeight="1">
      <c r="A221" s="114"/>
      <c r="B221" s="118"/>
      <c r="C221" s="117"/>
      <c r="D221" s="19">
        <f t="shared" si="126"/>
        <v>-1458</v>
      </c>
      <c r="E221" s="122"/>
      <c r="F221" s="123"/>
      <c r="G221" s="26">
        <f t="shared" si="127"/>
        <v>-1458</v>
      </c>
      <c r="H221" s="133"/>
      <c r="I221" s="117"/>
      <c r="J221" s="19">
        <f t="shared" si="128"/>
        <v>-1458</v>
      </c>
      <c r="K221" s="122"/>
      <c r="L221" s="123"/>
      <c r="M221" s="26">
        <f t="shared" si="129"/>
        <v>-1458</v>
      </c>
      <c r="N221" s="117"/>
      <c r="O221" s="117"/>
      <c r="P221" s="38">
        <f t="shared" si="130"/>
        <v>-1458</v>
      </c>
      <c r="Q221" s="122"/>
      <c r="R221" s="123"/>
      <c r="S221" s="26">
        <f t="shared" si="131"/>
        <v>-1458</v>
      </c>
      <c r="T221" s="136"/>
      <c r="U221" s="136"/>
      <c r="V221" s="45">
        <f t="shared" si="132"/>
        <v>-1458</v>
      </c>
      <c r="W221" s="143"/>
    </row>
    <row r="222" spans="1:23" ht="15.75" customHeight="1">
      <c r="A222" s="114"/>
      <c r="B222" s="128"/>
      <c r="C222" s="128"/>
      <c r="D222" s="29">
        <f t="shared" si="126"/>
        <v>-1458</v>
      </c>
      <c r="E222" s="122"/>
      <c r="F222" s="123"/>
      <c r="G222" s="53">
        <f t="shared" si="127"/>
        <v>-1458</v>
      </c>
      <c r="H222" s="140"/>
      <c r="I222" s="128"/>
      <c r="J222" s="29">
        <f t="shared" si="128"/>
        <v>-1458</v>
      </c>
      <c r="K222" s="122"/>
      <c r="L222" s="123"/>
      <c r="M222" s="39">
        <f t="shared" si="129"/>
        <v>-1458</v>
      </c>
      <c r="N222" s="128"/>
      <c r="O222" s="128"/>
      <c r="P222" s="40">
        <f t="shared" si="130"/>
        <v>-1458</v>
      </c>
      <c r="Q222" s="122"/>
      <c r="R222" s="123"/>
      <c r="S222" s="39">
        <f t="shared" si="131"/>
        <v>-1458</v>
      </c>
      <c r="T222" s="141"/>
      <c r="U222" s="141"/>
      <c r="V222" s="46">
        <f t="shared" si="132"/>
        <v>-1458</v>
      </c>
      <c r="W222" s="143"/>
    </row>
    <row r="223" spans="1:23" ht="15.75" customHeight="1">
      <c r="A223" s="87"/>
      <c r="B223" s="77">
        <f ca="1">IFERROR(__xludf.DUMMYFUNCTION("DATE(VALUE(LEFT($B$2,4)),VALUE(MID($B$2,6,2)),VALUE(RIGHT($B$2,2)))
+ (VALUE(REGEXEXTRACT(INDIRECT(""A""&amp;ROW()+1),""\d+""))-1)*7
+ INT((COLUMN()-COLUMN($B223))/3)
"),46516)</f>
        <v>46516</v>
      </c>
      <c r="C223" s="81"/>
      <c r="D223" s="82"/>
      <c r="E223" s="77">
        <f ca="1">IFERROR(__xludf.DUMMYFUNCTION("DATE(VALUE(LEFT($B$2,4)),VALUE(MID($B$2,6,2)),VALUE(RIGHT($B$2,2)))
+ (VALUE(REGEXEXTRACT(INDIRECT(""A""&amp;ROW()+1),""\d+""))-1)*7
+ INT((COLUMN()-COLUMN($B223))/3)
"),46517)</f>
        <v>46517</v>
      </c>
      <c r="F223" s="81"/>
      <c r="G223" s="82"/>
      <c r="H223" s="77">
        <f ca="1">IFERROR(__xludf.DUMMYFUNCTION("DATE(VALUE(LEFT($B$2,4)),VALUE(MID($B$2,6,2)),VALUE(RIGHT($B$2,2)))
+ (VALUE(REGEXEXTRACT(INDIRECT(""A""&amp;ROW()+1),""\d+""))-1)*7
+ INT((COLUMN()-COLUMN($B223))/3)
"),46518)</f>
        <v>46518</v>
      </c>
      <c r="I223" s="81"/>
      <c r="J223" s="82"/>
      <c r="K223" s="77">
        <f ca="1">IFERROR(__xludf.DUMMYFUNCTION("DATE(VALUE(LEFT($B$2,4)),VALUE(MID($B$2,6,2)),VALUE(RIGHT($B$2,2)))
+ (VALUE(REGEXEXTRACT(INDIRECT(""A""&amp;ROW()+1),""\d+""))-1)*7
+ INT((COLUMN()-COLUMN($B223))/3)
"),46519)</f>
        <v>46519</v>
      </c>
      <c r="L223" s="81"/>
      <c r="M223" s="82"/>
      <c r="N223" s="77">
        <f ca="1">IFERROR(__xludf.DUMMYFUNCTION("DATE(VALUE(LEFT($B$2,4)),VALUE(MID($B$2,6,2)),VALUE(RIGHT($B$2,2)))
+ (VALUE(REGEXEXTRACT(INDIRECT(""A""&amp;ROW()+1),""\d+""))-1)*7
+ INT((COLUMN()-COLUMN($B223))/3)
"),46520)</f>
        <v>46520</v>
      </c>
      <c r="O223" s="81"/>
      <c r="P223" s="82"/>
      <c r="Q223" s="77">
        <f ca="1">IFERROR(__xludf.DUMMYFUNCTION("DATE(VALUE(LEFT($B$2,4)),VALUE(MID($B$2,6,2)),VALUE(RIGHT($B$2,2)))
+ (VALUE(REGEXEXTRACT(INDIRECT(""A""&amp;ROW()+1),""\d+""))-1)*7
+ INT((COLUMN()-COLUMN($B223))/3)
"),46521)</f>
        <v>46521</v>
      </c>
      <c r="R223" s="81"/>
      <c r="S223" s="82"/>
      <c r="T223" s="77">
        <f ca="1">IFERROR(__xludf.DUMMYFUNCTION("DATE(VALUE(LEFT($B$2,4)),VALUE(MID($B$2,6,2)),VALUE(RIGHT($B$2,2)))
+ (VALUE(REGEXEXTRACT(INDIRECT(""A""&amp;ROW()+1),""\d+""))-1)*7
+ INT((COLUMN()-COLUMN($B223))/3)
"),46522)</f>
        <v>46522</v>
      </c>
      <c r="U223" s="81"/>
      <c r="V223" s="82"/>
      <c r="W223" s="143"/>
    </row>
    <row r="224" spans="1:23" ht="15.75" customHeight="1">
      <c r="A224" s="51" t="s">
        <v>72</v>
      </c>
      <c r="B224" s="112"/>
      <c r="C224" s="111"/>
      <c r="D224" s="17">
        <f>V222+C224</f>
        <v>-1458</v>
      </c>
      <c r="E224" s="109"/>
      <c r="F224" s="109"/>
      <c r="G224" s="54">
        <f>D234+F224</f>
        <v>-1458</v>
      </c>
      <c r="H224" s="110"/>
      <c r="I224" s="111"/>
      <c r="J224" s="17">
        <f>G234+I224</f>
        <v>-1458</v>
      </c>
      <c r="K224" s="109"/>
      <c r="L224" s="109"/>
      <c r="M224" s="35">
        <f>J234+L224</f>
        <v>-1458</v>
      </c>
      <c r="N224" s="112"/>
      <c r="O224" s="111"/>
      <c r="P224" s="17">
        <f>M234+O224</f>
        <v>-1458</v>
      </c>
      <c r="Q224" s="109"/>
      <c r="R224" s="109"/>
      <c r="S224" s="35">
        <f>P234+R224</f>
        <v>-1458</v>
      </c>
      <c r="T224" s="112"/>
      <c r="U224" s="111"/>
      <c r="V224" s="48">
        <f>S234+U224</f>
        <v>-1458</v>
      </c>
      <c r="W224" s="143"/>
    </row>
    <row r="225" spans="1:23" ht="15.75" customHeight="1">
      <c r="A225" s="114"/>
      <c r="B225" s="106"/>
      <c r="C225" s="107"/>
      <c r="D225" s="26">
        <f t="shared" ref="D225:D234" si="133">D224+C225</f>
        <v>-1458</v>
      </c>
      <c r="E225" s="117"/>
      <c r="F225" s="117"/>
      <c r="G225" s="19">
        <f t="shared" ref="G225:G234" si="134">G224+F225</f>
        <v>-1458</v>
      </c>
      <c r="H225" s="116"/>
      <c r="I225" s="107"/>
      <c r="J225" s="26">
        <f t="shared" ref="J225:J234" si="135">J224+I225</f>
        <v>-1458</v>
      </c>
      <c r="K225" s="117"/>
      <c r="L225" s="117"/>
      <c r="M225" s="38">
        <f t="shared" ref="M225:M234" si="136">M224+L225</f>
        <v>-1458</v>
      </c>
      <c r="N225" s="106"/>
      <c r="O225" s="107"/>
      <c r="P225" s="26">
        <f t="shared" ref="P225:P234" si="137">P224+O225</f>
        <v>-1458</v>
      </c>
      <c r="Q225" s="117"/>
      <c r="R225" s="117"/>
      <c r="S225" s="38">
        <f t="shared" ref="S225:S234" si="138">S224+R225</f>
        <v>-1458</v>
      </c>
      <c r="T225" s="106"/>
      <c r="U225" s="107"/>
      <c r="V225" s="20">
        <f t="shared" ref="V225:V234" si="139">V224+U225</f>
        <v>-1458</v>
      </c>
      <c r="W225" s="143"/>
    </row>
    <row r="226" spans="1:23" ht="15.75" customHeight="1">
      <c r="A226" s="114"/>
      <c r="B226" s="106"/>
      <c r="C226" s="107"/>
      <c r="D226" s="26">
        <f t="shared" si="133"/>
        <v>-1458</v>
      </c>
      <c r="E226" s="117"/>
      <c r="F226" s="117"/>
      <c r="G226" s="19">
        <f t="shared" si="134"/>
        <v>-1458</v>
      </c>
      <c r="H226" s="116"/>
      <c r="I226" s="107"/>
      <c r="J226" s="26">
        <f t="shared" si="135"/>
        <v>-1458</v>
      </c>
      <c r="K226" s="117"/>
      <c r="L226" s="117"/>
      <c r="M226" s="38">
        <f t="shared" si="136"/>
        <v>-1458</v>
      </c>
      <c r="N226" s="106"/>
      <c r="O226" s="107"/>
      <c r="P226" s="26">
        <f t="shared" si="137"/>
        <v>-1458</v>
      </c>
      <c r="Q226" s="117"/>
      <c r="R226" s="117"/>
      <c r="S226" s="38">
        <f t="shared" si="138"/>
        <v>-1458</v>
      </c>
      <c r="T226" s="106"/>
      <c r="U226" s="116"/>
      <c r="V226" s="20">
        <f t="shared" si="139"/>
        <v>-1458</v>
      </c>
      <c r="W226" s="143"/>
    </row>
    <row r="227" spans="1:23" ht="15.75" customHeight="1">
      <c r="A227" s="114"/>
      <c r="B227" s="106"/>
      <c r="C227" s="107"/>
      <c r="D227" s="26">
        <f t="shared" si="133"/>
        <v>-1458</v>
      </c>
      <c r="E227" s="117"/>
      <c r="F227" s="117"/>
      <c r="G227" s="19">
        <f t="shared" si="134"/>
        <v>-1458</v>
      </c>
      <c r="H227" s="116"/>
      <c r="I227" s="107"/>
      <c r="J227" s="26">
        <f t="shared" si="135"/>
        <v>-1458</v>
      </c>
      <c r="K227" s="117"/>
      <c r="L227" s="117"/>
      <c r="M227" s="38">
        <f t="shared" si="136"/>
        <v>-1458</v>
      </c>
      <c r="N227" s="106"/>
      <c r="O227" s="107"/>
      <c r="P227" s="26">
        <f t="shared" si="137"/>
        <v>-1458</v>
      </c>
      <c r="Q227" s="117"/>
      <c r="R227" s="117"/>
      <c r="S227" s="38">
        <f t="shared" si="138"/>
        <v>-1458</v>
      </c>
      <c r="T227" s="106"/>
      <c r="U227" s="116"/>
      <c r="V227" s="20">
        <f t="shared" si="139"/>
        <v>-1458</v>
      </c>
      <c r="W227" s="143"/>
    </row>
    <row r="228" spans="1:23" ht="15.75" customHeight="1">
      <c r="A228" s="114"/>
      <c r="B228" s="106"/>
      <c r="C228" s="107"/>
      <c r="D228" s="26">
        <f t="shared" si="133"/>
        <v>-1458</v>
      </c>
      <c r="E228" s="117"/>
      <c r="F228" s="117"/>
      <c r="G228" s="19">
        <f t="shared" si="134"/>
        <v>-1458</v>
      </c>
      <c r="H228" s="116"/>
      <c r="I228" s="107"/>
      <c r="J228" s="26">
        <f t="shared" si="135"/>
        <v>-1458</v>
      </c>
      <c r="K228" s="117"/>
      <c r="L228" s="117"/>
      <c r="M228" s="38">
        <f t="shared" si="136"/>
        <v>-1458</v>
      </c>
      <c r="N228" s="106"/>
      <c r="O228" s="107"/>
      <c r="P228" s="26">
        <f t="shared" si="137"/>
        <v>-1458</v>
      </c>
      <c r="Q228" s="133"/>
      <c r="R228" s="117"/>
      <c r="S228" s="38">
        <f t="shared" si="138"/>
        <v>-1458</v>
      </c>
      <c r="T228" s="106"/>
      <c r="U228" s="116"/>
      <c r="V228" s="20">
        <f t="shared" si="139"/>
        <v>-1458</v>
      </c>
      <c r="W228" s="143"/>
    </row>
    <row r="229" spans="1:23" ht="15.75" customHeight="1">
      <c r="A229" s="114"/>
      <c r="B229" s="106"/>
      <c r="C229" s="107"/>
      <c r="D229" s="26">
        <f t="shared" si="133"/>
        <v>-1458</v>
      </c>
      <c r="E229" s="117"/>
      <c r="F229" s="117"/>
      <c r="G229" s="19">
        <f t="shared" si="134"/>
        <v>-1458</v>
      </c>
      <c r="H229" s="116"/>
      <c r="I229" s="107"/>
      <c r="J229" s="26">
        <f t="shared" si="135"/>
        <v>-1458</v>
      </c>
      <c r="K229" s="117"/>
      <c r="L229" s="117"/>
      <c r="M229" s="38">
        <f t="shared" si="136"/>
        <v>-1458</v>
      </c>
      <c r="N229" s="106"/>
      <c r="O229" s="107"/>
      <c r="P229" s="26">
        <f t="shared" si="137"/>
        <v>-1458</v>
      </c>
      <c r="Q229" s="117"/>
      <c r="R229" s="117"/>
      <c r="S229" s="38">
        <f t="shared" si="138"/>
        <v>-1458</v>
      </c>
      <c r="T229" s="106"/>
      <c r="U229" s="116"/>
      <c r="V229" s="20">
        <f t="shared" si="139"/>
        <v>-1458</v>
      </c>
      <c r="W229" s="143"/>
    </row>
    <row r="230" spans="1:23" ht="15.75" customHeight="1">
      <c r="A230" s="114"/>
      <c r="B230" s="106"/>
      <c r="C230" s="107"/>
      <c r="D230" s="26">
        <f t="shared" si="133"/>
        <v>-1458</v>
      </c>
      <c r="E230" s="117"/>
      <c r="F230" s="117"/>
      <c r="G230" s="19">
        <f t="shared" si="134"/>
        <v>-1458</v>
      </c>
      <c r="H230" s="116"/>
      <c r="I230" s="107"/>
      <c r="J230" s="26">
        <f t="shared" si="135"/>
        <v>-1458</v>
      </c>
      <c r="K230" s="117"/>
      <c r="L230" s="117"/>
      <c r="M230" s="38">
        <f t="shared" si="136"/>
        <v>-1458</v>
      </c>
      <c r="N230" s="106"/>
      <c r="O230" s="107"/>
      <c r="P230" s="26">
        <f t="shared" si="137"/>
        <v>-1458</v>
      </c>
      <c r="Q230" s="117"/>
      <c r="R230" s="117"/>
      <c r="S230" s="38">
        <f t="shared" si="138"/>
        <v>-1458</v>
      </c>
      <c r="T230" s="106"/>
      <c r="U230" s="116"/>
      <c r="V230" s="20">
        <f t="shared" si="139"/>
        <v>-1458</v>
      </c>
      <c r="W230" s="143"/>
    </row>
    <row r="231" spans="1:23" ht="15.75" customHeight="1">
      <c r="A231" s="114"/>
      <c r="B231" s="106"/>
      <c r="C231" s="107"/>
      <c r="D231" s="26">
        <f t="shared" si="133"/>
        <v>-1458</v>
      </c>
      <c r="E231" s="117"/>
      <c r="F231" s="117"/>
      <c r="G231" s="19">
        <f t="shared" si="134"/>
        <v>-1458</v>
      </c>
      <c r="H231" s="116"/>
      <c r="I231" s="107"/>
      <c r="J231" s="26">
        <f t="shared" si="135"/>
        <v>-1458</v>
      </c>
      <c r="K231" s="117"/>
      <c r="L231" s="117"/>
      <c r="M231" s="38">
        <f t="shared" si="136"/>
        <v>-1458</v>
      </c>
      <c r="N231" s="106"/>
      <c r="O231" s="107"/>
      <c r="P231" s="26">
        <f t="shared" si="137"/>
        <v>-1458</v>
      </c>
      <c r="Q231" s="117"/>
      <c r="R231" s="117"/>
      <c r="S231" s="38">
        <f t="shared" si="138"/>
        <v>-1458</v>
      </c>
      <c r="T231" s="106"/>
      <c r="U231" s="116"/>
      <c r="V231" s="20">
        <f t="shared" si="139"/>
        <v>-1458</v>
      </c>
      <c r="W231" s="143"/>
    </row>
    <row r="232" spans="1:23" ht="15.75" customHeight="1">
      <c r="A232" s="114"/>
      <c r="B232" s="122"/>
      <c r="C232" s="123"/>
      <c r="D232" s="26">
        <f t="shared" si="133"/>
        <v>-1458</v>
      </c>
      <c r="E232" s="117"/>
      <c r="F232" s="117"/>
      <c r="G232" s="19">
        <f t="shared" si="134"/>
        <v>-1458</v>
      </c>
      <c r="H232" s="124"/>
      <c r="I232" s="123"/>
      <c r="J232" s="26">
        <f t="shared" si="135"/>
        <v>-1458</v>
      </c>
      <c r="K232" s="117"/>
      <c r="L232" s="117"/>
      <c r="M232" s="38">
        <f t="shared" si="136"/>
        <v>-1458</v>
      </c>
      <c r="N232" s="122"/>
      <c r="O232" s="123"/>
      <c r="P232" s="26">
        <f t="shared" si="137"/>
        <v>-1458</v>
      </c>
      <c r="Q232" s="117"/>
      <c r="R232" s="117"/>
      <c r="S232" s="38">
        <f t="shared" si="138"/>
        <v>-1458</v>
      </c>
      <c r="T232" s="106"/>
      <c r="U232" s="116"/>
      <c r="V232" s="20">
        <f t="shared" si="139"/>
        <v>-1458</v>
      </c>
      <c r="W232" s="143"/>
    </row>
    <row r="233" spans="1:23" ht="15.75" customHeight="1">
      <c r="A233" s="114"/>
      <c r="B233" s="122"/>
      <c r="C233" s="123"/>
      <c r="D233" s="26">
        <f t="shared" si="133"/>
        <v>-1458</v>
      </c>
      <c r="E233" s="117"/>
      <c r="F233" s="117"/>
      <c r="G233" s="19">
        <f t="shared" si="134"/>
        <v>-1458</v>
      </c>
      <c r="H233" s="124"/>
      <c r="I233" s="123"/>
      <c r="J233" s="26">
        <f t="shared" si="135"/>
        <v>-1458</v>
      </c>
      <c r="K233" s="117"/>
      <c r="L233" s="117"/>
      <c r="M233" s="38">
        <f t="shared" si="136"/>
        <v>-1458</v>
      </c>
      <c r="N233" s="122"/>
      <c r="O233" s="123"/>
      <c r="P233" s="26">
        <f t="shared" si="137"/>
        <v>-1458</v>
      </c>
      <c r="Q233" s="117"/>
      <c r="R233" s="117"/>
      <c r="S233" s="38">
        <f t="shared" si="138"/>
        <v>-1458</v>
      </c>
      <c r="T233" s="122"/>
      <c r="U233" s="124"/>
      <c r="V233" s="20">
        <f t="shared" si="139"/>
        <v>-1458</v>
      </c>
      <c r="W233" s="143"/>
    </row>
    <row r="234" spans="1:23" ht="15.75" customHeight="1">
      <c r="A234" s="114"/>
      <c r="B234" s="122"/>
      <c r="C234" s="123"/>
      <c r="D234" s="39">
        <f t="shared" si="133"/>
        <v>-1458</v>
      </c>
      <c r="E234" s="128"/>
      <c r="F234" s="128"/>
      <c r="G234" s="55">
        <f t="shared" si="134"/>
        <v>-1458</v>
      </c>
      <c r="H234" s="124"/>
      <c r="I234" s="123"/>
      <c r="J234" s="39">
        <f t="shared" si="135"/>
        <v>-1458</v>
      </c>
      <c r="K234" s="128"/>
      <c r="L234" s="128"/>
      <c r="M234" s="40">
        <f t="shared" si="136"/>
        <v>-1458</v>
      </c>
      <c r="N234" s="122"/>
      <c r="O234" s="123"/>
      <c r="P234" s="39">
        <f t="shared" si="137"/>
        <v>-1458</v>
      </c>
      <c r="Q234" s="128"/>
      <c r="R234" s="128"/>
      <c r="S234" s="40">
        <f t="shared" si="138"/>
        <v>-1458</v>
      </c>
      <c r="T234" s="122"/>
      <c r="U234" s="123"/>
      <c r="V234" s="49">
        <f t="shared" si="139"/>
        <v>-1458</v>
      </c>
      <c r="W234" s="143"/>
    </row>
    <row r="235" spans="1:23" ht="15.75" customHeight="1">
      <c r="A235" s="87"/>
      <c r="B235" s="77">
        <f ca="1">IFERROR(__xludf.DUMMYFUNCTION("DATE(VALUE(LEFT($B$2,4)),VALUE(MID($B$2,6,2)),VALUE(RIGHT($B$2,2)))
+ (VALUE(REGEXEXTRACT(INDIRECT(""A""&amp;ROW()+1),""\d+""))-1)*7
+ INT((COLUMN()-COLUMN($B235))/3)
"),46523)</f>
        <v>46523</v>
      </c>
      <c r="C235" s="81"/>
      <c r="D235" s="82"/>
      <c r="E235" s="77">
        <f ca="1">IFERROR(__xludf.DUMMYFUNCTION("DATE(VALUE(LEFT($B$2,4)),VALUE(MID($B$2,6,2)),VALUE(RIGHT($B$2,2)))
+ (VALUE(REGEXEXTRACT(INDIRECT(""A""&amp;ROW()+1),""\d+""))-1)*7
+ INT((COLUMN()-COLUMN($B235))/3)
"),46524)</f>
        <v>46524</v>
      </c>
      <c r="F235" s="81"/>
      <c r="G235" s="82"/>
      <c r="H235" s="77">
        <f ca="1">IFERROR(__xludf.DUMMYFUNCTION("DATE(VALUE(LEFT($B$2,4)),VALUE(MID($B$2,6,2)),VALUE(RIGHT($B$2,2)))
+ (VALUE(REGEXEXTRACT(INDIRECT(""A""&amp;ROW()+1),""\d+""))-1)*7
+ INT((COLUMN()-COLUMN($B235))/3)
"),46525)</f>
        <v>46525</v>
      </c>
      <c r="I235" s="81"/>
      <c r="J235" s="82"/>
      <c r="K235" s="77">
        <f ca="1">IFERROR(__xludf.DUMMYFUNCTION("DATE(VALUE(LEFT($B$2,4)),VALUE(MID($B$2,6,2)),VALUE(RIGHT($B$2,2)))
+ (VALUE(REGEXEXTRACT(INDIRECT(""A""&amp;ROW()+1),""\d+""))-1)*7
+ INT((COLUMN()-COLUMN($B235))/3)
"),46526)</f>
        <v>46526</v>
      </c>
      <c r="L235" s="81"/>
      <c r="M235" s="82"/>
      <c r="N235" s="77">
        <f ca="1">IFERROR(__xludf.DUMMYFUNCTION("DATE(VALUE(LEFT($B$2,4)),VALUE(MID($B$2,6,2)),VALUE(RIGHT($B$2,2)))
+ (VALUE(REGEXEXTRACT(INDIRECT(""A""&amp;ROW()+1),""\d+""))-1)*7
+ INT((COLUMN()-COLUMN($B235))/3)
"),46527)</f>
        <v>46527</v>
      </c>
      <c r="O235" s="81"/>
      <c r="P235" s="82"/>
      <c r="Q235" s="77">
        <f ca="1">IFERROR(__xludf.DUMMYFUNCTION("DATE(VALUE(LEFT($B$2,4)),VALUE(MID($B$2,6,2)),VALUE(RIGHT($B$2,2)))
+ (VALUE(REGEXEXTRACT(INDIRECT(""A""&amp;ROW()+1),""\d+""))-1)*7
+ INT((COLUMN()-COLUMN($B235))/3)
"),46528)</f>
        <v>46528</v>
      </c>
      <c r="R235" s="81"/>
      <c r="S235" s="82"/>
      <c r="T235" s="77">
        <f ca="1">IFERROR(__xludf.DUMMYFUNCTION("DATE(VALUE(LEFT($B$2,4)),VALUE(MID($B$2,6,2)),VALUE(RIGHT($B$2,2)))
+ (VALUE(REGEXEXTRACT(INDIRECT(""A""&amp;ROW()+1),""\d+""))-1)*7
+ INT((COLUMN()-COLUMN($B235))/3)
"),46529)</f>
        <v>46529</v>
      </c>
      <c r="U235" s="81"/>
      <c r="V235" s="82"/>
      <c r="W235" s="52" t="s">
        <v>20</v>
      </c>
    </row>
    <row r="236" spans="1:23" ht="15.75" customHeight="1">
      <c r="A236" s="47" t="s">
        <v>89</v>
      </c>
      <c r="B236" s="109"/>
      <c r="C236" s="109"/>
      <c r="D236" s="42">
        <f>V234+C236</f>
        <v>-1458</v>
      </c>
      <c r="E236" s="112"/>
      <c r="F236" s="111"/>
      <c r="G236" s="36">
        <f>D246+F236</f>
        <v>-1458</v>
      </c>
      <c r="H236" s="132"/>
      <c r="I236" s="109"/>
      <c r="J236" s="42">
        <f>G246+I236</f>
        <v>-1458</v>
      </c>
      <c r="K236" s="112"/>
      <c r="L236" s="111"/>
      <c r="M236" s="18">
        <f>J246+L236</f>
        <v>-1458</v>
      </c>
      <c r="N236" s="113"/>
      <c r="O236" s="109"/>
      <c r="P236" s="35">
        <f>M246+O236</f>
        <v>-1458</v>
      </c>
      <c r="Q236" s="112"/>
      <c r="R236" s="111"/>
      <c r="S236" s="18">
        <f>P246+R236</f>
        <v>-1458</v>
      </c>
      <c r="T236" s="113"/>
      <c r="U236" s="109"/>
      <c r="V236" s="50">
        <f>S246+U236</f>
        <v>-1458</v>
      </c>
      <c r="W236" s="172"/>
    </row>
    <row r="237" spans="1:23" ht="15.75" customHeight="1">
      <c r="A237" s="114"/>
      <c r="B237" s="117"/>
      <c r="C237" s="117"/>
      <c r="D237" s="19">
        <f t="shared" ref="D237:D246" si="140">D236+C237</f>
        <v>-1458</v>
      </c>
      <c r="E237" s="106"/>
      <c r="F237" s="107"/>
      <c r="G237" s="26">
        <f t="shared" ref="G237:G246" si="141">G236+F237</f>
        <v>-1458</v>
      </c>
      <c r="H237" s="133"/>
      <c r="I237" s="117"/>
      <c r="J237" s="19">
        <f t="shared" ref="J237:J246" si="142">J236+I237</f>
        <v>-1458</v>
      </c>
      <c r="K237" s="106"/>
      <c r="L237" s="107"/>
      <c r="M237" s="26">
        <f t="shared" ref="M237:M246" si="143">M236+L237</f>
        <v>-1458</v>
      </c>
      <c r="N237" s="118"/>
      <c r="O237" s="117"/>
      <c r="P237" s="38">
        <f t="shared" ref="P237:P246" si="144">P236+O237</f>
        <v>-1458</v>
      </c>
      <c r="Q237" s="106"/>
      <c r="R237" s="107"/>
      <c r="S237" s="26">
        <f t="shared" ref="S237:S246" si="145">S236+R237</f>
        <v>-1458</v>
      </c>
      <c r="T237" s="136"/>
      <c r="U237" s="136"/>
      <c r="V237" s="45">
        <f t="shared" ref="V237:V246" si="146">V236+U237</f>
        <v>-1458</v>
      </c>
      <c r="W237" s="143"/>
    </row>
    <row r="238" spans="1:23" ht="15.75" customHeight="1">
      <c r="A238" s="114"/>
      <c r="B238" s="117"/>
      <c r="C238" s="117"/>
      <c r="D238" s="19">
        <f t="shared" si="140"/>
        <v>-1458</v>
      </c>
      <c r="E238" s="106"/>
      <c r="F238" s="107"/>
      <c r="G238" s="26">
        <f t="shared" si="141"/>
        <v>-1458</v>
      </c>
      <c r="H238" s="133"/>
      <c r="I238" s="117"/>
      <c r="J238" s="19">
        <f t="shared" si="142"/>
        <v>-1458</v>
      </c>
      <c r="K238" s="106"/>
      <c r="L238" s="107"/>
      <c r="M238" s="26">
        <f t="shared" si="143"/>
        <v>-1458</v>
      </c>
      <c r="N238" s="117"/>
      <c r="O238" s="117"/>
      <c r="P238" s="38">
        <f t="shared" si="144"/>
        <v>-1458</v>
      </c>
      <c r="Q238" s="106"/>
      <c r="R238" s="107"/>
      <c r="S238" s="26">
        <f t="shared" si="145"/>
        <v>-1458</v>
      </c>
      <c r="T238" s="136"/>
      <c r="U238" s="136"/>
      <c r="V238" s="45">
        <f t="shared" si="146"/>
        <v>-1458</v>
      </c>
      <c r="W238" s="143"/>
    </row>
    <row r="239" spans="1:23" ht="15.75" customHeight="1">
      <c r="A239" s="114"/>
      <c r="B239" s="117"/>
      <c r="C239" s="117"/>
      <c r="D239" s="19">
        <f t="shared" si="140"/>
        <v>-1458</v>
      </c>
      <c r="E239" s="106"/>
      <c r="F239" s="107"/>
      <c r="G239" s="26">
        <f t="shared" si="141"/>
        <v>-1458</v>
      </c>
      <c r="H239" s="133"/>
      <c r="I239" s="117"/>
      <c r="J239" s="19">
        <f t="shared" si="142"/>
        <v>-1458</v>
      </c>
      <c r="K239" s="106"/>
      <c r="L239" s="107"/>
      <c r="M239" s="26">
        <f t="shared" si="143"/>
        <v>-1458</v>
      </c>
      <c r="N239" s="117"/>
      <c r="O239" s="117"/>
      <c r="P239" s="38">
        <f t="shared" si="144"/>
        <v>-1458</v>
      </c>
      <c r="Q239" s="106"/>
      <c r="R239" s="107"/>
      <c r="S239" s="26">
        <f t="shared" si="145"/>
        <v>-1458</v>
      </c>
      <c r="T239" s="136"/>
      <c r="U239" s="136"/>
      <c r="V239" s="45">
        <f t="shared" si="146"/>
        <v>-1458</v>
      </c>
      <c r="W239" s="143"/>
    </row>
    <row r="240" spans="1:23" ht="15.75" customHeight="1">
      <c r="A240" s="114"/>
      <c r="B240" s="117"/>
      <c r="C240" s="117"/>
      <c r="D240" s="19">
        <f t="shared" si="140"/>
        <v>-1458</v>
      </c>
      <c r="E240" s="106"/>
      <c r="F240" s="107"/>
      <c r="G240" s="26">
        <f t="shared" si="141"/>
        <v>-1458</v>
      </c>
      <c r="H240" s="133"/>
      <c r="I240" s="117"/>
      <c r="J240" s="19">
        <f t="shared" si="142"/>
        <v>-1458</v>
      </c>
      <c r="K240" s="106"/>
      <c r="L240" s="107"/>
      <c r="M240" s="26">
        <f t="shared" si="143"/>
        <v>-1458</v>
      </c>
      <c r="N240" s="117"/>
      <c r="O240" s="117"/>
      <c r="P240" s="38">
        <f t="shared" si="144"/>
        <v>-1458</v>
      </c>
      <c r="Q240" s="106"/>
      <c r="R240" s="107"/>
      <c r="S240" s="26">
        <f t="shared" si="145"/>
        <v>-1458</v>
      </c>
      <c r="T240" s="136"/>
      <c r="U240" s="136"/>
      <c r="V240" s="45">
        <f t="shared" si="146"/>
        <v>-1458</v>
      </c>
      <c r="W240" s="143"/>
    </row>
    <row r="241" spans="1:23" ht="15.75" customHeight="1">
      <c r="A241" s="114"/>
      <c r="B241" s="118"/>
      <c r="C241" s="117"/>
      <c r="D241" s="19">
        <f t="shared" si="140"/>
        <v>-1458</v>
      </c>
      <c r="E241" s="106"/>
      <c r="F241" s="107"/>
      <c r="G241" s="26">
        <f t="shared" si="141"/>
        <v>-1458</v>
      </c>
      <c r="H241" s="133"/>
      <c r="I241" s="117"/>
      <c r="J241" s="19">
        <f t="shared" si="142"/>
        <v>-1458</v>
      </c>
      <c r="K241" s="106"/>
      <c r="L241" s="107"/>
      <c r="M241" s="26">
        <f t="shared" si="143"/>
        <v>-1458</v>
      </c>
      <c r="N241" s="117"/>
      <c r="O241" s="117"/>
      <c r="P241" s="38">
        <f t="shared" si="144"/>
        <v>-1458</v>
      </c>
      <c r="Q241" s="106"/>
      <c r="R241" s="107"/>
      <c r="S241" s="26">
        <f t="shared" si="145"/>
        <v>-1458</v>
      </c>
      <c r="T241" s="136"/>
      <c r="U241" s="136"/>
      <c r="V241" s="45">
        <f t="shared" si="146"/>
        <v>-1458</v>
      </c>
      <c r="W241" s="143"/>
    </row>
    <row r="242" spans="1:23" ht="15.75" customHeight="1">
      <c r="A242" s="114"/>
      <c r="B242" s="117"/>
      <c r="C242" s="117"/>
      <c r="D242" s="19">
        <f t="shared" si="140"/>
        <v>-1458</v>
      </c>
      <c r="E242" s="106"/>
      <c r="F242" s="107"/>
      <c r="G242" s="26">
        <f t="shared" si="141"/>
        <v>-1458</v>
      </c>
      <c r="H242" s="133"/>
      <c r="I242" s="117"/>
      <c r="J242" s="19">
        <f t="shared" si="142"/>
        <v>-1458</v>
      </c>
      <c r="K242" s="106"/>
      <c r="L242" s="107"/>
      <c r="M242" s="26">
        <f t="shared" si="143"/>
        <v>-1458</v>
      </c>
      <c r="N242" s="117"/>
      <c r="O242" s="117"/>
      <c r="P242" s="38">
        <f t="shared" si="144"/>
        <v>-1458</v>
      </c>
      <c r="Q242" s="106"/>
      <c r="R242" s="107"/>
      <c r="S242" s="26">
        <f t="shared" si="145"/>
        <v>-1458</v>
      </c>
      <c r="T242" s="136"/>
      <c r="U242" s="136"/>
      <c r="V242" s="45">
        <f t="shared" si="146"/>
        <v>-1458</v>
      </c>
      <c r="W242" s="143"/>
    </row>
    <row r="243" spans="1:23" ht="15.75" customHeight="1">
      <c r="A243" s="114"/>
      <c r="B243" s="117"/>
      <c r="C243" s="117"/>
      <c r="D243" s="19">
        <f t="shared" si="140"/>
        <v>-1458</v>
      </c>
      <c r="E243" s="106"/>
      <c r="F243" s="107"/>
      <c r="G243" s="26">
        <f t="shared" si="141"/>
        <v>-1458</v>
      </c>
      <c r="H243" s="133"/>
      <c r="I243" s="117"/>
      <c r="J243" s="19">
        <f t="shared" si="142"/>
        <v>-1458</v>
      </c>
      <c r="K243" s="106"/>
      <c r="L243" s="107"/>
      <c r="M243" s="26">
        <f t="shared" si="143"/>
        <v>-1458</v>
      </c>
      <c r="N243" s="117"/>
      <c r="O243" s="117"/>
      <c r="P243" s="38">
        <f t="shared" si="144"/>
        <v>-1458</v>
      </c>
      <c r="Q243" s="106"/>
      <c r="R243" s="107"/>
      <c r="S243" s="26">
        <f t="shared" si="145"/>
        <v>-1458</v>
      </c>
      <c r="T243" s="136"/>
      <c r="U243" s="136"/>
      <c r="V243" s="45">
        <f t="shared" si="146"/>
        <v>-1458</v>
      </c>
      <c r="W243" s="143"/>
    </row>
    <row r="244" spans="1:23" ht="15.75" customHeight="1">
      <c r="A244" s="114"/>
      <c r="B244" s="117"/>
      <c r="C244" s="117"/>
      <c r="D244" s="19">
        <f t="shared" si="140"/>
        <v>-1458</v>
      </c>
      <c r="E244" s="106"/>
      <c r="F244" s="107"/>
      <c r="G244" s="26">
        <f t="shared" si="141"/>
        <v>-1458</v>
      </c>
      <c r="H244" s="133"/>
      <c r="I244" s="117"/>
      <c r="J244" s="19">
        <f t="shared" si="142"/>
        <v>-1458</v>
      </c>
      <c r="K244" s="106"/>
      <c r="L244" s="107"/>
      <c r="M244" s="26">
        <f t="shared" si="143"/>
        <v>-1458</v>
      </c>
      <c r="N244" s="117"/>
      <c r="O244" s="117"/>
      <c r="P244" s="38">
        <f t="shared" si="144"/>
        <v>-1458</v>
      </c>
      <c r="Q244" s="106"/>
      <c r="R244" s="107"/>
      <c r="S244" s="26">
        <f t="shared" si="145"/>
        <v>-1458</v>
      </c>
      <c r="T244" s="136"/>
      <c r="U244" s="136"/>
      <c r="V244" s="45">
        <f t="shared" si="146"/>
        <v>-1458</v>
      </c>
      <c r="W244" s="143"/>
    </row>
    <row r="245" spans="1:23" ht="15.75" customHeight="1">
      <c r="A245" s="114"/>
      <c r="B245" s="117"/>
      <c r="C245" s="117"/>
      <c r="D245" s="19">
        <f t="shared" si="140"/>
        <v>-1458</v>
      </c>
      <c r="E245" s="122"/>
      <c r="F245" s="123"/>
      <c r="G245" s="26">
        <f t="shared" si="141"/>
        <v>-1458</v>
      </c>
      <c r="H245" s="133"/>
      <c r="I245" s="117"/>
      <c r="J245" s="19">
        <f t="shared" si="142"/>
        <v>-1458</v>
      </c>
      <c r="K245" s="122"/>
      <c r="L245" s="123"/>
      <c r="M245" s="26">
        <f t="shared" si="143"/>
        <v>-1458</v>
      </c>
      <c r="N245" s="117"/>
      <c r="O245" s="117"/>
      <c r="P245" s="38">
        <f t="shared" si="144"/>
        <v>-1458</v>
      </c>
      <c r="Q245" s="122"/>
      <c r="R245" s="123"/>
      <c r="S245" s="26">
        <f t="shared" si="145"/>
        <v>-1458</v>
      </c>
      <c r="T245" s="136"/>
      <c r="U245" s="136"/>
      <c r="V245" s="45">
        <f t="shared" si="146"/>
        <v>-1458</v>
      </c>
      <c r="W245" s="143"/>
    </row>
    <row r="246" spans="1:23" ht="15.75" customHeight="1">
      <c r="A246" s="114"/>
      <c r="B246" s="128"/>
      <c r="C246" s="128"/>
      <c r="D246" s="29">
        <f t="shared" si="140"/>
        <v>-1458</v>
      </c>
      <c r="E246" s="122"/>
      <c r="F246" s="123"/>
      <c r="G246" s="53">
        <f t="shared" si="141"/>
        <v>-1458</v>
      </c>
      <c r="H246" s="140"/>
      <c r="I246" s="128"/>
      <c r="J246" s="29">
        <f t="shared" si="142"/>
        <v>-1458</v>
      </c>
      <c r="K246" s="122"/>
      <c r="L246" s="123"/>
      <c r="M246" s="39">
        <f t="shared" si="143"/>
        <v>-1458</v>
      </c>
      <c r="N246" s="128"/>
      <c r="O246" s="128"/>
      <c r="P246" s="40">
        <f t="shared" si="144"/>
        <v>-1458</v>
      </c>
      <c r="Q246" s="122"/>
      <c r="R246" s="123"/>
      <c r="S246" s="39">
        <f t="shared" si="145"/>
        <v>-1458</v>
      </c>
      <c r="T246" s="141"/>
      <c r="U246" s="141"/>
      <c r="V246" s="46">
        <f t="shared" si="146"/>
        <v>-1458</v>
      </c>
      <c r="W246" s="143"/>
    </row>
    <row r="247" spans="1:23" ht="15.75" customHeight="1">
      <c r="A247" s="87"/>
      <c r="B247" s="77">
        <f ca="1">IFERROR(__xludf.DUMMYFUNCTION("DATE(VALUE(LEFT($B$2,4)),VALUE(MID($B$2,6,2)),VALUE(RIGHT($B$2,2)))
+ (VALUE(REGEXEXTRACT(INDIRECT(""A""&amp;ROW()+1),""\d+""))-1)*7
+ INT((COLUMN()-COLUMN($B247))/3)
"),46530)</f>
        <v>46530</v>
      </c>
      <c r="C247" s="81"/>
      <c r="D247" s="82"/>
      <c r="E247" s="77">
        <f ca="1">IFERROR(__xludf.DUMMYFUNCTION("DATE(VALUE(LEFT($B$2,4)),VALUE(MID($B$2,6,2)),VALUE(RIGHT($B$2,2)))
+ (VALUE(REGEXEXTRACT(INDIRECT(""A""&amp;ROW()+1),""\d+""))-1)*7
+ INT((COLUMN()-COLUMN($B247))/3)
"),46531)</f>
        <v>46531</v>
      </c>
      <c r="F247" s="81"/>
      <c r="G247" s="82"/>
      <c r="H247" s="77">
        <f ca="1">IFERROR(__xludf.DUMMYFUNCTION("DATE(VALUE(LEFT($B$2,4)),VALUE(MID($B$2,6,2)),VALUE(RIGHT($B$2,2)))
+ (VALUE(REGEXEXTRACT(INDIRECT(""A""&amp;ROW()+1),""\d+""))-1)*7
+ INT((COLUMN()-COLUMN($B247))/3)
"),46532)</f>
        <v>46532</v>
      </c>
      <c r="I247" s="81"/>
      <c r="J247" s="82"/>
      <c r="K247" s="77">
        <f ca="1">IFERROR(__xludf.DUMMYFUNCTION("DATE(VALUE(LEFT($B$2,4)),VALUE(MID($B$2,6,2)),VALUE(RIGHT($B$2,2)))
+ (VALUE(REGEXEXTRACT(INDIRECT(""A""&amp;ROW()+1),""\d+""))-1)*7
+ INT((COLUMN()-COLUMN($B247))/3)
"),46533)</f>
        <v>46533</v>
      </c>
      <c r="L247" s="81"/>
      <c r="M247" s="82"/>
      <c r="N247" s="77">
        <f ca="1">IFERROR(__xludf.DUMMYFUNCTION("DATE(VALUE(LEFT($B$2,4)),VALUE(MID($B$2,6,2)),VALUE(RIGHT($B$2,2)))
+ (VALUE(REGEXEXTRACT(INDIRECT(""A""&amp;ROW()+1),""\d+""))-1)*7
+ INT((COLUMN()-COLUMN($B247))/3)
"),46534)</f>
        <v>46534</v>
      </c>
      <c r="O247" s="81"/>
      <c r="P247" s="82"/>
      <c r="Q247" s="77">
        <f ca="1">IFERROR(__xludf.DUMMYFUNCTION("DATE(VALUE(LEFT($B$2,4)),VALUE(MID($B$2,6,2)),VALUE(RIGHT($B$2,2)))
+ (VALUE(REGEXEXTRACT(INDIRECT(""A""&amp;ROW()+1),""\d+""))-1)*7
+ INT((COLUMN()-COLUMN($B247))/3)
"),46535)</f>
        <v>46535</v>
      </c>
      <c r="R247" s="81"/>
      <c r="S247" s="82"/>
      <c r="T247" s="77">
        <f ca="1">IFERROR(__xludf.DUMMYFUNCTION("DATE(VALUE(LEFT($B$2,4)),VALUE(MID($B$2,6,2)),VALUE(RIGHT($B$2,2)))
+ (VALUE(REGEXEXTRACT(INDIRECT(""A""&amp;ROW()+1),""\d+""))-1)*7
+ INT((COLUMN()-COLUMN($B247))/3)
"),46536)</f>
        <v>46536</v>
      </c>
      <c r="U247" s="81"/>
      <c r="V247" s="82"/>
      <c r="W247" s="143"/>
    </row>
    <row r="248" spans="1:23" ht="15.75" customHeight="1">
      <c r="A248" s="51" t="s">
        <v>98</v>
      </c>
      <c r="B248" s="112"/>
      <c r="C248" s="111"/>
      <c r="D248" s="17">
        <f>V246+C248</f>
        <v>-1458</v>
      </c>
      <c r="E248" s="109"/>
      <c r="F248" s="109"/>
      <c r="G248" s="42">
        <f>D258+F248</f>
        <v>-1458</v>
      </c>
      <c r="H248" s="112"/>
      <c r="I248" s="111"/>
      <c r="J248" s="17">
        <f>G258+I248</f>
        <v>-1458</v>
      </c>
      <c r="K248" s="109"/>
      <c r="L248" s="109"/>
      <c r="M248" s="35">
        <f>J258+L248</f>
        <v>-1458</v>
      </c>
      <c r="N248" s="112"/>
      <c r="O248" s="111"/>
      <c r="P248" s="17">
        <f>M258+O248</f>
        <v>-1458</v>
      </c>
      <c r="Q248" s="109"/>
      <c r="R248" s="109"/>
      <c r="S248" s="35">
        <f>P258+R248</f>
        <v>-1458</v>
      </c>
      <c r="T248" s="112"/>
      <c r="U248" s="111"/>
      <c r="V248" s="48">
        <f>S258+U248</f>
        <v>-1458</v>
      </c>
      <c r="W248" s="143"/>
    </row>
    <row r="249" spans="1:23" ht="15.75" customHeight="1">
      <c r="A249" s="114"/>
      <c r="B249" s="106"/>
      <c r="C249" s="107"/>
      <c r="D249" s="26">
        <f t="shared" ref="D249:D258" si="147">D248+C249</f>
        <v>-1458</v>
      </c>
      <c r="E249" s="117"/>
      <c r="F249" s="117"/>
      <c r="G249" s="19">
        <f t="shared" ref="G249:G258" si="148">G248+F249</f>
        <v>-1458</v>
      </c>
      <c r="H249" s="106"/>
      <c r="I249" s="107"/>
      <c r="J249" s="26">
        <f t="shared" ref="J249:J258" si="149">J248+I249</f>
        <v>-1458</v>
      </c>
      <c r="K249" s="117"/>
      <c r="L249" s="117"/>
      <c r="M249" s="38">
        <f t="shared" ref="M249:M258" si="150">M248+L249</f>
        <v>-1458</v>
      </c>
      <c r="N249" s="106"/>
      <c r="O249" s="107"/>
      <c r="P249" s="26">
        <f t="shared" ref="P249:P258" si="151">P248+O249</f>
        <v>-1458</v>
      </c>
      <c r="Q249" s="117"/>
      <c r="R249" s="117"/>
      <c r="S249" s="38">
        <f t="shared" ref="S249:S258" si="152">S248+R249</f>
        <v>-1458</v>
      </c>
      <c r="T249" s="106"/>
      <c r="U249" s="107"/>
      <c r="V249" s="20">
        <f t="shared" ref="V249:V258" si="153">V248+U249</f>
        <v>-1458</v>
      </c>
      <c r="W249" s="143"/>
    </row>
    <row r="250" spans="1:23" ht="15.75" customHeight="1">
      <c r="A250" s="114"/>
      <c r="B250" s="106"/>
      <c r="C250" s="107"/>
      <c r="D250" s="26">
        <f t="shared" si="147"/>
        <v>-1458</v>
      </c>
      <c r="E250" s="117"/>
      <c r="F250" s="117"/>
      <c r="G250" s="19">
        <f t="shared" si="148"/>
        <v>-1458</v>
      </c>
      <c r="H250" s="106"/>
      <c r="I250" s="107"/>
      <c r="J250" s="26">
        <f t="shared" si="149"/>
        <v>-1458</v>
      </c>
      <c r="K250" s="117"/>
      <c r="L250" s="117"/>
      <c r="M250" s="38">
        <f t="shared" si="150"/>
        <v>-1458</v>
      </c>
      <c r="N250" s="106"/>
      <c r="O250" s="107"/>
      <c r="P250" s="26">
        <f t="shared" si="151"/>
        <v>-1458</v>
      </c>
      <c r="Q250" s="117"/>
      <c r="R250" s="117"/>
      <c r="S250" s="38">
        <f t="shared" si="152"/>
        <v>-1458</v>
      </c>
      <c r="T250" s="106"/>
      <c r="U250" s="116"/>
      <c r="V250" s="20">
        <f t="shared" si="153"/>
        <v>-1458</v>
      </c>
      <c r="W250" s="143"/>
    </row>
    <row r="251" spans="1:23" ht="15.75" customHeight="1">
      <c r="A251" s="114"/>
      <c r="B251" s="106"/>
      <c r="C251" s="107"/>
      <c r="D251" s="26">
        <f t="shared" si="147"/>
        <v>-1458</v>
      </c>
      <c r="E251" s="117"/>
      <c r="F251" s="117"/>
      <c r="G251" s="19">
        <f t="shared" si="148"/>
        <v>-1458</v>
      </c>
      <c r="H251" s="106"/>
      <c r="I251" s="107"/>
      <c r="J251" s="26">
        <f t="shared" si="149"/>
        <v>-1458</v>
      </c>
      <c r="K251" s="117"/>
      <c r="L251" s="117"/>
      <c r="M251" s="38">
        <f t="shared" si="150"/>
        <v>-1458</v>
      </c>
      <c r="N251" s="106"/>
      <c r="O251" s="107"/>
      <c r="P251" s="26">
        <f t="shared" si="151"/>
        <v>-1458</v>
      </c>
      <c r="Q251" s="117"/>
      <c r="R251" s="117"/>
      <c r="S251" s="38">
        <f t="shared" si="152"/>
        <v>-1458</v>
      </c>
      <c r="T251" s="106"/>
      <c r="U251" s="116"/>
      <c r="V251" s="20">
        <f t="shared" si="153"/>
        <v>-1458</v>
      </c>
      <c r="W251" s="143"/>
    </row>
    <row r="252" spans="1:23" ht="15.75" customHeight="1">
      <c r="A252" s="114"/>
      <c r="B252" s="106"/>
      <c r="C252" s="107"/>
      <c r="D252" s="26">
        <f t="shared" si="147"/>
        <v>-1458</v>
      </c>
      <c r="E252" s="117"/>
      <c r="F252" s="117"/>
      <c r="G252" s="19">
        <f t="shared" si="148"/>
        <v>-1458</v>
      </c>
      <c r="H252" s="106"/>
      <c r="I252" s="107"/>
      <c r="J252" s="26">
        <f t="shared" si="149"/>
        <v>-1458</v>
      </c>
      <c r="K252" s="117"/>
      <c r="L252" s="117"/>
      <c r="M252" s="38">
        <f t="shared" si="150"/>
        <v>-1458</v>
      </c>
      <c r="N252" s="106"/>
      <c r="O252" s="107"/>
      <c r="P252" s="26">
        <f t="shared" si="151"/>
        <v>-1458</v>
      </c>
      <c r="Q252" s="117"/>
      <c r="R252" s="117"/>
      <c r="S252" s="38">
        <f t="shared" si="152"/>
        <v>-1458</v>
      </c>
      <c r="T252" s="106"/>
      <c r="U252" s="116"/>
      <c r="V252" s="20">
        <f t="shared" si="153"/>
        <v>-1458</v>
      </c>
      <c r="W252" s="143"/>
    </row>
    <row r="253" spans="1:23" ht="15.75" customHeight="1">
      <c r="A253" s="114"/>
      <c r="B253" s="106"/>
      <c r="C253" s="107"/>
      <c r="D253" s="26">
        <f t="shared" si="147"/>
        <v>-1458</v>
      </c>
      <c r="E253" s="117"/>
      <c r="F253" s="117"/>
      <c r="G253" s="19">
        <f t="shared" si="148"/>
        <v>-1458</v>
      </c>
      <c r="H253" s="106"/>
      <c r="I253" s="107"/>
      <c r="J253" s="26">
        <f t="shared" si="149"/>
        <v>-1458</v>
      </c>
      <c r="K253" s="117"/>
      <c r="L253" s="117"/>
      <c r="M253" s="38">
        <f t="shared" si="150"/>
        <v>-1458</v>
      </c>
      <c r="N253" s="106"/>
      <c r="O253" s="107"/>
      <c r="P253" s="26">
        <f t="shared" si="151"/>
        <v>-1458</v>
      </c>
      <c r="Q253" s="117"/>
      <c r="R253" s="117"/>
      <c r="S253" s="38">
        <f t="shared" si="152"/>
        <v>-1458</v>
      </c>
      <c r="T253" s="106"/>
      <c r="U253" s="116"/>
      <c r="V253" s="20">
        <f t="shared" si="153"/>
        <v>-1458</v>
      </c>
      <c r="W253" s="143"/>
    </row>
    <row r="254" spans="1:23" ht="15.75" customHeight="1">
      <c r="A254" s="114"/>
      <c r="B254" s="106"/>
      <c r="C254" s="107"/>
      <c r="D254" s="26">
        <f t="shared" si="147"/>
        <v>-1458</v>
      </c>
      <c r="E254" s="117"/>
      <c r="F254" s="117"/>
      <c r="G254" s="19">
        <f t="shared" si="148"/>
        <v>-1458</v>
      </c>
      <c r="H254" s="106"/>
      <c r="I254" s="107"/>
      <c r="J254" s="26">
        <f t="shared" si="149"/>
        <v>-1458</v>
      </c>
      <c r="K254" s="117"/>
      <c r="L254" s="117"/>
      <c r="M254" s="38">
        <f t="shared" si="150"/>
        <v>-1458</v>
      </c>
      <c r="N254" s="106"/>
      <c r="O254" s="107"/>
      <c r="P254" s="26">
        <f t="shared" si="151"/>
        <v>-1458</v>
      </c>
      <c r="Q254" s="117"/>
      <c r="R254" s="117"/>
      <c r="S254" s="38">
        <f t="shared" si="152"/>
        <v>-1458</v>
      </c>
      <c r="T254" s="106"/>
      <c r="U254" s="116"/>
      <c r="V254" s="20">
        <f t="shared" si="153"/>
        <v>-1458</v>
      </c>
      <c r="W254" s="143"/>
    </row>
    <row r="255" spans="1:23" ht="15.75" customHeight="1">
      <c r="A255" s="114"/>
      <c r="B255" s="106"/>
      <c r="C255" s="107"/>
      <c r="D255" s="26">
        <f t="shared" si="147"/>
        <v>-1458</v>
      </c>
      <c r="E255" s="117"/>
      <c r="F255" s="117"/>
      <c r="G255" s="19">
        <f t="shared" si="148"/>
        <v>-1458</v>
      </c>
      <c r="H255" s="106"/>
      <c r="I255" s="107"/>
      <c r="J255" s="26">
        <f t="shared" si="149"/>
        <v>-1458</v>
      </c>
      <c r="K255" s="117"/>
      <c r="L255" s="117"/>
      <c r="M255" s="38">
        <f t="shared" si="150"/>
        <v>-1458</v>
      </c>
      <c r="N255" s="106"/>
      <c r="O255" s="107"/>
      <c r="P255" s="26">
        <f t="shared" si="151"/>
        <v>-1458</v>
      </c>
      <c r="Q255" s="117"/>
      <c r="R255" s="117"/>
      <c r="S255" s="38">
        <f t="shared" si="152"/>
        <v>-1458</v>
      </c>
      <c r="T255" s="106"/>
      <c r="U255" s="116"/>
      <c r="V255" s="20">
        <f t="shared" si="153"/>
        <v>-1458</v>
      </c>
      <c r="W255" s="143"/>
    </row>
    <row r="256" spans="1:23" ht="15.75" customHeight="1">
      <c r="A256" s="114"/>
      <c r="B256" s="122"/>
      <c r="C256" s="123"/>
      <c r="D256" s="26">
        <f t="shared" si="147"/>
        <v>-1458</v>
      </c>
      <c r="E256" s="117"/>
      <c r="F256" s="117"/>
      <c r="G256" s="19">
        <f t="shared" si="148"/>
        <v>-1458</v>
      </c>
      <c r="H256" s="122"/>
      <c r="I256" s="123"/>
      <c r="J256" s="26">
        <f t="shared" si="149"/>
        <v>-1458</v>
      </c>
      <c r="K256" s="117"/>
      <c r="L256" s="117"/>
      <c r="M256" s="38">
        <f t="shared" si="150"/>
        <v>-1458</v>
      </c>
      <c r="N256" s="106"/>
      <c r="O256" s="107"/>
      <c r="P256" s="26">
        <f t="shared" si="151"/>
        <v>-1458</v>
      </c>
      <c r="Q256" s="117"/>
      <c r="R256" s="117"/>
      <c r="S256" s="38">
        <f t="shared" si="152"/>
        <v>-1458</v>
      </c>
      <c r="T256" s="106"/>
      <c r="U256" s="116"/>
      <c r="V256" s="20">
        <f t="shared" si="153"/>
        <v>-1458</v>
      </c>
      <c r="W256" s="143"/>
    </row>
    <row r="257" spans="1:23" ht="15.75" customHeight="1">
      <c r="A257" s="114"/>
      <c r="B257" s="122"/>
      <c r="C257" s="123"/>
      <c r="D257" s="26">
        <f t="shared" si="147"/>
        <v>-1458</v>
      </c>
      <c r="E257" s="117"/>
      <c r="F257" s="117"/>
      <c r="G257" s="19">
        <f t="shared" si="148"/>
        <v>-1458</v>
      </c>
      <c r="H257" s="122"/>
      <c r="I257" s="123"/>
      <c r="J257" s="26">
        <f t="shared" si="149"/>
        <v>-1458</v>
      </c>
      <c r="K257" s="117"/>
      <c r="L257" s="117"/>
      <c r="M257" s="38">
        <f t="shared" si="150"/>
        <v>-1458</v>
      </c>
      <c r="N257" s="122"/>
      <c r="O257" s="123"/>
      <c r="P257" s="26">
        <f t="shared" si="151"/>
        <v>-1458</v>
      </c>
      <c r="Q257" s="117"/>
      <c r="R257" s="117"/>
      <c r="S257" s="38">
        <f t="shared" si="152"/>
        <v>-1458</v>
      </c>
      <c r="T257" s="122"/>
      <c r="U257" s="124"/>
      <c r="V257" s="20">
        <f t="shared" si="153"/>
        <v>-1458</v>
      </c>
      <c r="W257" s="143"/>
    </row>
    <row r="258" spans="1:23" ht="15.75" customHeight="1">
      <c r="A258" s="114"/>
      <c r="B258" s="122"/>
      <c r="C258" s="123"/>
      <c r="D258" s="39">
        <f t="shared" si="147"/>
        <v>-1458</v>
      </c>
      <c r="E258" s="128"/>
      <c r="F258" s="128"/>
      <c r="G258" s="29">
        <f t="shared" si="148"/>
        <v>-1458</v>
      </c>
      <c r="H258" s="122"/>
      <c r="I258" s="123"/>
      <c r="J258" s="39">
        <f t="shared" si="149"/>
        <v>-1458</v>
      </c>
      <c r="K258" s="128"/>
      <c r="L258" s="128"/>
      <c r="M258" s="40">
        <f t="shared" si="150"/>
        <v>-1458</v>
      </c>
      <c r="N258" s="122"/>
      <c r="O258" s="123"/>
      <c r="P258" s="39">
        <f t="shared" si="151"/>
        <v>-1458</v>
      </c>
      <c r="Q258" s="128"/>
      <c r="R258" s="128"/>
      <c r="S258" s="40">
        <f t="shared" si="152"/>
        <v>-1458</v>
      </c>
      <c r="T258" s="122"/>
      <c r="U258" s="123"/>
      <c r="V258" s="49">
        <f t="shared" si="153"/>
        <v>-1458</v>
      </c>
      <c r="W258" s="143"/>
    </row>
    <row r="259" spans="1:23" ht="15.75" customHeight="1">
      <c r="A259" s="87"/>
      <c r="B259" s="77">
        <f ca="1">IFERROR(__xludf.DUMMYFUNCTION("DATE(VALUE(LEFT($B$2,4)),VALUE(MID($B$2,6,2)),VALUE(RIGHT($B$2,2)))
+ (VALUE(REGEXEXTRACT(INDIRECT(""A""&amp;ROW()+1),""\d+""))-1)*7
+ INT((COLUMN()-COLUMN($B259))/3)
"),46537)</f>
        <v>46537</v>
      </c>
      <c r="C259" s="81"/>
      <c r="D259" s="82"/>
      <c r="E259" s="77">
        <f ca="1">IFERROR(__xludf.DUMMYFUNCTION("DATE(VALUE(LEFT($B$2,4)),VALUE(MID($B$2,6,2)),VALUE(RIGHT($B$2,2)))
+ (VALUE(REGEXEXTRACT(INDIRECT(""A""&amp;ROW()+1),""\d+""))-1)*7
+ INT((COLUMN()-COLUMN($B259))/3)
"),46538)</f>
        <v>46538</v>
      </c>
      <c r="F259" s="81"/>
      <c r="G259" s="82"/>
      <c r="H259" s="77">
        <f ca="1">IFERROR(__xludf.DUMMYFUNCTION("DATE(VALUE(LEFT($B$2,4)),VALUE(MID($B$2,6,2)),VALUE(RIGHT($B$2,2)))
+ (VALUE(REGEXEXTRACT(INDIRECT(""A""&amp;ROW()+1),""\d+""))-1)*7
+ INT((COLUMN()-COLUMN($B259))/3)
"),46539)</f>
        <v>46539</v>
      </c>
      <c r="I259" s="81"/>
      <c r="J259" s="82"/>
      <c r="K259" s="77">
        <f ca="1">IFERROR(__xludf.DUMMYFUNCTION("DATE(VALUE(LEFT($B$2,4)),VALUE(MID($B$2,6,2)),VALUE(RIGHT($B$2,2)))
+ (VALUE(REGEXEXTRACT(INDIRECT(""A""&amp;ROW()+1),""\d+""))-1)*7
+ INT((COLUMN()-COLUMN($B259))/3)
"),46540)</f>
        <v>46540</v>
      </c>
      <c r="L259" s="81"/>
      <c r="M259" s="82"/>
      <c r="N259" s="77">
        <f ca="1">IFERROR(__xludf.DUMMYFUNCTION("DATE(VALUE(LEFT($B$2,4)),VALUE(MID($B$2,6,2)),VALUE(RIGHT($B$2,2)))
+ (VALUE(REGEXEXTRACT(INDIRECT(""A""&amp;ROW()+1),""\d+""))-1)*7
+ INT((COLUMN()-COLUMN($B259))/3)
"),46541)</f>
        <v>46541</v>
      </c>
      <c r="O259" s="81"/>
      <c r="P259" s="82"/>
      <c r="Q259" s="77">
        <f ca="1">IFERROR(__xludf.DUMMYFUNCTION("DATE(VALUE(LEFT($B$2,4)),VALUE(MID($B$2,6,2)),VALUE(RIGHT($B$2,2)))
+ (VALUE(REGEXEXTRACT(INDIRECT(""A""&amp;ROW()+1),""\d+""))-1)*7
+ INT((COLUMN()-COLUMN($B259))/3)
"),46542)</f>
        <v>46542</v>
      </c>
      <c r="R259" s="81"/>
      <c r="S259" s="82"/>
      <c r="T259" s="77">
        <f ca="1">IFERROR(__xludf.DUMMYFUNCTION("DATE(VALUE(LEFT($B$2,4)),VALUE(MID($B$2,6,2)),VALUE(RIGHT($B$2,2)))
+ (VALUE(REGEXEXTRACT(INDIRECT(""A""&amp;ROW()+1),""\d+""))-1)*7
+ INT((COLUMN()-COLUMN($B259))/3)
"),46543)</f>
        <v>46543</v>
      </c>
      <c r="U259" s="81"/>
      <c r="V259" s="82"/>
      <c r="W259" s="52" t="s">
        <v>20</v>
      </c>
    </row>
    <row r="260" spans="1:23" ht="15.75" customHeight="1">
      <c r="A260" s="47" t="s">
        <v>106</v>
      </c>
      <c r="B260" s="109"/>
      <c r="C260" s="109"/>
      <c r="D260" s="42">
        <f>V258+C260</f>
        <v>-1458</v>
      </c>
      <c r="E260" s="112"/>
      <c r="F260" s="111"/>
      <c r="G260" s="48">
        <f>D270+F260</f>
        <v>-1458</v>
      </c>
      <c r="H260" s="149"/>
      <c r="I260" s="150"/>
      <c r="J260" s="54">
        <f>G270+I260</f>
        <v>-1458</v>
      </c>
      <c r="K260" s="110"/>
      <c r="L260" s="111"/>
      <c r="M260" s="18">
        <f>J270+L260</f>
        <v>-1458</v>
      </c>
      <c r="N260" s="113"/>
      <c r="O260" s="109"/>
      <c r="P260" s="35">
        <f>M270+O260</f>
        <v>-1458</v>
      </c>
      <c r="Q260" s="112"/>
      <c r="R260" s="111"/>
      <c r="S260" s="18">
        <f>P270+R260</f>
        <v>-1458</v>
      </c>
      <c r="T260" s="113"/>
      <c r="U260" s="109"/>
      <c r="V260" s="50">
        <f>S270+U260</f>
        <v>-1458</v>
      </c>
      <c r="W260" s="172"/>
    </row>
    <row r="261" spans="1:23" ht="15.75" customHeight="1">
      <c r="A261" s="114"/>
      <c r="B261" s="117"/>
      <c r="C261" s="117"/>
      <c r="D261" s="19">
        <f t="shared" ref="D261:D270" si="154">D260+C261</f>
        <v>-1458</v>
      </c>
      <c r="E261" s="116"/>
      <c r="F261" s="107"/>
      <c r="G261" s="20">
        <f t="shared" ref="G261:G270" si="155">G260+F261</f>
        <v>-1458</v>
      </c>
      <c r="H261" s="118"/>
      <c r="I261" s="117"/>
      <c r="J261" s="19">
        <f t="shared" ref="J261:J270" si="156">J260+I261</f>
        <v>-1458</v>
      </c>
      <c r="K261" s="116"/>
      <c r="L261" s="107"/>
      <c r="M261" s="26">
        <f t="shared" ref="M261:M270" si="157">M260+L261</f>
        <v>-1458</v>
      </c>
      <c r="N261" s="118"/>
      <c r="O261" s="117"/>
      <c r="P261" s="38">
        <f t="shared" ref="P261:P270" si="158">P260+O261</f>
        <v>-1458</v>
      </c>
      <c r="Q261" s="106"/>
      <c r="R261" s="107"/>
      <c r="S261" s="26">
        <f t="shared" ref="S261:S270" si="159">S260+R261</f>
        <v>-1458</v>
      </c>
      <c r="T261" s="136"/>
      <c r="U261" s="136"/>
      <c r="V261" s="45">
        <f t="shared" ref="V261:V270" si="160">V260+U261</f>
        <v>-1458</v>
      </c>
      <c r="W261" s="143"/>
    </row>
    <row r="262" spans="1:23" ht="15.75" customHeight="1">
      <c r="A262" s="114"/>
      <c r="B262" s="117"/>
      <c r="C262" s="117"/>
      <c r="D262" s="19">
        <f t="shared" si="154"/>
        <v>-1458</v>
      </c>
      <c r="E262" s="116"/>
      <c r="F262" s="107"/>
      <c r="G262" s="20">
        <f t="shared" si="155"/>
        <v>-1458</v>
      </c>
      <c r="H262" s="118"/>
      <c r="I262" s="117"/>
      <c r="J262" s="19">
        <f t="shared" si="156"/>
        <v>-1458</v>
      </c>
      <c r="K262" s="116"/>
      <c r="L262" s="107"/>
      <c r="M262" s="26">
        <f t="shared" si="157"/>
        <v>-1458</v>
      </c>
      <c r="N262" s="117"/>
      <c r="O262" s="117"/>
      <c r="P262" s="38">
        <f t="shared" si="158"/>
        <v>-1458</v>
      </c>
      <c r="Q262" s="106"/>
      <c r="R262" s="107"/>
      <c r="S262" s="26">
        <f t="shared" si="159"/>
        <v>-1458</v>
      </c>
      <c r="T262" s="136"/>
      <c r="U262" s="136"/>
      <c r="V262" s="45">
        <f t="shared" si="160"/>
        <v>-1458</v>
      </c>
      <c r="W262" s="143"/>
    </row>
    <row r="263" spans="1:23" ht="15.75" customHeight="1">
      <c r="A263" s="114"/>
      <c r="B263" s="117"/>
      <c r="C263" s="117"/>
      <c r="D263" s="19">
        <f t="shared" si="154"/>
        <v>-1458</v>
      </c>
      <c r="E263" s="116"/>
      <c r="F263" s="107"/>
      <c r="G263" s="20">
        <f t="shared" si="155"/>
        <v>-1458</v>
      </c>
      <c r="H263" s="118"/>
      <c r="I263" s="117"/>
      <c r="J263" s="19">
        <f t="shared" si="156"/>
        <v>-1458</v>
      </c>
      <c r="K263" s="116"/>
      <c r="L263" s="107"/>
      <c r="M263" s="26">
        <f t="shared" si="157"/>
        <v>-1458</v>
      </c>
      <c r="N263" s="117"/>
      <c r="O263" s="117"/>
      <c r="P263" s="38">
        <f t="shared" si="158"/>
        <v>-1458</v>
      </c>
      <c r="Q263" s="106"/>
      <c r="R263" s="107"/>
      <c r="S263" s="26">
        <f t="shared" si="159"/>
        <v>-1458</v>
      </c>
      <c r="T263" s="136"/>
      <c r="U263" s="136"/>
      <c r="V263" s="45">
        <f t="shared" si="160"/>
        <v>-1458</v>
      </c>
      <c r="W263" s="143"/>
    </row>
    <row r="264" spans="1:23" ht="15.75" customHeight="1">
      <c r="A264" s="114"/>
      <c r="B264" s="117"/>
      <c r="C264" s="117"/>
      <c r="D264" s="19">
        <f t="shared" si="154"/>
        <v>-1458</v>
      </c>
      <c r="E264" s="116"/>
      <c r="F264" s="107"/>
      <c r="G264" s="20">
        <f t="shared" si="155"/>
        <v>-1458</v>
      </c>
      <c r="H264" s="118"/>
      <c r="I264" s="117"/>
      <c r="J264" s="19">
        <f t="shared" si="156"/>
        <v>-1458</v>
      </c>
      <c r="K264" s="116"/>
      <c r="L264" s="107"/>
      <c r="M264" s="26">
        <f t="shared" si="157"/>
        <v>-1458</v>
      </c>
      <c r="N264" s="117"/>
      <c r="O264" s="117"/>
      <c r="P264" s="38">
        <f t="shared" si="158"/>
        <v>-1458</v>
      </c>
      <c r="Q264" s="106"/>
      <c r="R264" s="107"/>
      <c r="S264" s="26">
        <f t="shared" si="159"/>
        <v>-1458</v>
      </c>
      <c r="T264" s="136"/>
      <c r="U264" s="136"/>
      <c r="V264" s="45">
        <f t="shared" si="160"/>
        <v>-1458</v>
      </c>
      <c r="W264" s="143"/>
    </row>
    <row r="265" spans="1:23" ht="15.75" customHeight="1">
      <c r="A265" s="114"/>
      <c r="B265" s="118"/>
      <c r="C265" s="117"/>
      <c r="D265" s="19">
        <f t="shared" si="154"/>
        <v>-1458</v>
      </c>
      <c r="E265" s="116"/>
      <c r="F265" s="107"/>
      <c r="G265" s="20">
        <f t="shared" si="155"/>
        <v>-1458</v>
      </c>
      <c r="H265" s="118"/>
      <c r="I265" s="117"/>
      <c r="J265" s="19">
        <f t="shared" si="156"/>
        <v>-1458</v>
      </c>
      <c r="K265" s="116"/>
      <c r="L265" s="107"/>
      <c r="M265" s="26">
        <f t="shared" si="157"/>
        <v>-1458</v>
      </c>
      <c r="N265" s="117"/>
      <c r="O265" s="117"/>
      <c r="P265" s="38">
        <f t="shared" si="158"/>
        <v>-1458</v>
      </c>
      <c r="Q265" s="106"/>
      <c r="R265" s="107"/>
      <c r="S265" s="26">
        <f t="shared" si="159"/>
        <v>-1458</v>
      </c>
      <c r="T265" s="136"/>
      <c r="U265" s="136"/>
      <c r="V265" s="45">
        <f t="shared" si="160"/>
        <v>-1458</v>
      </c>
      <c r="W265" s="143"/>
    </row>
    <row r="266" spans="1:23" ht="15.75" customHeight="1">
      <c r="A266" s="114"/>
      <c r="B266" s="117"/>
      <c r="C266" s="117"/>
      <c r="D266" s="19">
        <f t="shared" si="154"/>
        <v>-1458</v>
      </c>
      <c r="E266" s="106"/>
      <c r="F266" s="107"/>
      <c r="G266" s="20">
        <f t="shared" si="155"/>
        <v>-1458</v>
      </c>
      <c r="H266" s="118"/>
      <c r="I266" s="117"/>
      <c r="J266" s="19">
        <f t="shared" si="156"/>
        <v>-1458</v>
      </c>
      <c r="K266" s="116"/>
      <c r="L266" s="107"/>
      <c r="M266" s="26">
        <f t="shared" si="157"/>
        <v>-1458</v>
      </c>
      <c r="N266" s="117"/>
      <c r="O266" s="117"/>
      <c r="P266" s="38">
        <f t="shared" si="158"/>
        <v>-1458</v>
      </c>
      <c r="Q266" s="106"/>
      <c r="R266" s="107"/>
      <c r="S266" s="26">
        <f t="shared" si="159"/>
        <v>-1458</v>
      </c>
      <c r="T266" s="136"/>
      <c r="U266" s="136"/>
      <c r="V266" s="45">
        <f t="shared" si="160"/>
        <v>-1458</v>
      </c>
      <c r="W266" s="143"/>
    </row>
    <row r="267" spans="1:23" ht="15.75" customHeight="1">
      <c r="A267" s="114"/>
      <c r="B267" s="117"/>
      <c r="C267" s="117"/>
      <c r="D267" s="19">
        <f t="shared" si="154"/>
        <v>-1458</v>
      </c>
      <c r="E267" s="106"/>
      <c r="F267" s="107"/>
      <c r="G267" s="20">
        <f t="shared" si="155"/>
        <v>-1458</v>
      </c>
      <c r="H267" s="118"/>
      <c r="I267" s="117"/>
      <c r="J267" s="19">
        <f t="shared" si="156"/>
        <v>-1458</v>
      </c>
      <c r="K267" s="116"/>
      <c r="L267" s="107"/>
      <c r="M267" s="26">
        <f t="shared" si="157"/>
        <v>-1458</v>
      </c>
      <c r="N267" s="117"/>
      <c r="O267" s="117"/>
      <c r="P267" s="38">
        <f t="shared" si="158"/>
        <v>-1458</v>
      </c>
      <c r="Q267" s="106"/>
      <c r="R267" s="107"/>
      <c r="S267" s="26">
        <f t="shared" si="159"/>
        <v>-1458</v>
      </c>
      <c r="T267" s="136"/>
      <c r="U267" s="136"/>
      <c r="V267" s="45">
        <f t="shared" si="160"/>
        <v>-1458</v>
      </c>
      <c r="W267" s="143"/>
    </row>
    <row r="268" spans="1:23" ht="15.75" customHeight="1">
      <c r="A268" s="114"/>
      <c r="B268" s="117"/>
      <c r="C268" s="117"/>
      <c r="D268" s="19">
        <f t="shared" si="154"/>
        <v>-1458</v>
      </c>
      <c r="E268" s="106"/>
      <c r="F268" s="107"/>
      <c r="G268" s="20">
        <f t="shared" si="155"/>
        <v>-1458</v>
      </c>
      <c r="H268" s="118"/>
      <c r="I268" s="117"/>
      <c r="J268" s="19">
        <f t="shared" si="156"/>
        <v>-1458</v>
      </c>
      <c r="K268" s="116"/>
      <c r="L268" s="107"/>
      <c r="M268" s="26">
        <f t="shared" si="157"/>
        <v>-1458</v>
      </c>
      <c r="N268" s="117"/>
      <c r="O268" s="117"/>
      <c r="P268" s="38">
        <f t="shared" si="158"/>
        <v>-1458</v>
      </c>
      <c r="Q268" s="106"/>
      <c r="R268" s="107"/>
      <c r="S268" s="26">
        <f t="shared" si="159"/>
        <v>-1458</v>
      </c>
      <c r="T268" s="136"/>
      <c r="U268" s="136"/>
      <c r="V268" s="45">
        <f t="shared" si="160"/>
        <v>-1458</v>
      </c>
      <c r="W268" s="143"/>
    </row>
    <row r="269" spans="1:23" ht="15.75" customHeight="1">
      <c r="A269" s="114"/>
      <c r="B269" s="117"/>
      <c r="C269" s="117"/>
      <c r="D269" s="19">
        <f t="shared" si="154"/>
        <v>-1458</v>
      </c>
      <c r="E269" s="122"/>
      <c r="F269" s="123"/>
      <c r="G269" s="20">
        <f t="shared" si="155"/>
        <v>-1458</v>
      </c>
      <c r="H269" s="118"/>
      <c r="I269" s="117"/>
      <c r="J269" s="19">
        <f t="shared" si="156"/>
        <v>-1458</v>
      </c>
      <c r="K269" s="124"/>
      <c r="L269" s="123"/>
      <c r="M269" s="26">
        <f t="shared" si="157"/>
        <v>-1458</v>
      </c>
      <c r="N269" s="117"/>
      <c r="O269" s="117"/>
      <c r="P269" s="38">
        <f t="shared" si="158"/>
        <v>-1458</v>
      </c>
      <c r="Q269" s="122"/>
      <c r="R269" s="123"/>
      <c r="S269" s="26">
        <f t="shared" si="159"/>
        <v>-1458</v>
      </c>
      <c r="T269" s="136"/>
      <c r="U269" s="136"/>
      <c r="V269" s="45">
        <f t="shared" si="160"/>
        <v>-1458</v>
      </c>
      <c r="W269" s="143"/>
    </row>
    <row r="270" spans="1:23" ht="15.75" customHeight="1">
      <c r="A270" s="114"/>
      <c r="B270" s="128"/>
      <c r="C270" s="128"/>
      <c r="D270" s="29">
        <f t="shared" si="154"/>
        <v>-1458</v>
      </c>
      <c r="E270" s="122"/>
      <c r="F270" s="123"/>
      <c r="G270" s="49">
        <f t="shared" si="155"/>
        <v>-1458</v>
      </c>
      <c r="H270" s="154"/>
      <c r="I270" s="128"/>
      <c r="J270" s="29">
        <f t="shared" si="156"/>
        <v>-1458</v>
      </c>
      <c r="K270" s="124"/>
      <c r="L270" s="123"/>
      <c r="M270" s="39">
        <f t="shared" si="157"/>
        <v>-1458</v>
      </c>
      <c r="N270" s="128"/>
      <c r="O270" s="128"/>
      <c r="P270" s="40">
        <f t="shared" si="158"/>
        <v>-1458</v>
      </c>
      <c r="Q270" s="122"/>
      <c r="R270" s="123"/>
      <c r="S270" s="39">
        <f t="shared" si="159"/>
        <v>-1458</v>
      </c>
      <c r="T270" s="141"/>
      <c r="U270" s="141"/>
      <c r="V270" s="46">
        <f t="shared" si="160"/>
        <v>-1458</v>
      </c>
      <c r="W270" s="143"/>
    </row>
    <row r="271" spans="1:23" ht="15.75" customHeight="1">
      <c r="A271" s="87"/>
      <c r="B271" s="77">
        <f ca="1">IFERROR(__xludf.DUMMYFUNCTION("DATE(VALUE(LEFT($B$2,4)),VALUE(MID($B$2,6,2)),VALUE(RIGHT($B$2,2)))
+ (VALUE(REGEXEXTRACT(INDIRECT(""A""&amp;ROW()+1),""\d+""))-1)*7
+ INT((COLUMN()-COLUMN($B271))/3)
"),46544)</f>
        <v>46544</v>
      </c>
      <c r="C271" s="81"/>
      <c r="D271" s="82"/>
      <c r="E271" s="77">
        <f ca="1">IFERROR(__xludf.DUMMYFUNCTION("DATE(VALUE(LEFT($B$2,4)),VALUE(MID($B$2,6,2)),VALUE(RIGHT($B$2,2)))
+ (VALUE(REGEXEXTRACT(INDIRECT(""A""&amp;ROW()+1),""\d+""))-1)*7
+ INT((COLUMN()-COLUMN($B271))/3)
"),46545)</f>
        <v>46545</v>
      </c>
      <c r="F271" s="81"/>
      <c r="G271" s="82"/>
      <c r="H271" s="77">
        <f ca="1">IFERROR(__xludf.DUMMYFUNCTION("DATE(VALUE(LEFT($B$2,4)),VALUE(MID($B$2,6,2)),VALUE(RIGHT($B$2,2)))
+ (VALUE(REGEXEXTRACT(INDIRECT(""A""&amp;ROW()+1),""\d+""))-1)*7
+ INT((COLUMN()-COLUMN($B271))/3)
"),46546)</f>
        <v>46546</v>
      </c>
      <c r="I271" s="81"/>
      <c r="J271" s="82"/>
      <c r="K271" s="77">
        <f ca="1">IFERROR(__xludf.DUMMYFUNCTION("DATE(VALUE(LEFT($B$2,4)),VALUE(MID($B$2,6,2)),VALUE(RIGHT($B$2,2)))
+ (VALUE(REGEXEXTRACT(INDIRECT(""A""&amp;ROW()+1),""\d+""))-1)*7
+ INT((COLUMN()-COLUMN($B271))/3)
"),46547)</f>
        <v>46547</v>
      </c>
      <c r="L271" s="81"/>
      <c r="M271" s="82"/>
      <c r="N271" s="77">
        <f ca="1">IFERROR(__xludf.DUMMYFUNCTION("DATE(VALUE(LEFT($B$2,4)),VALUE(MID($B$2,6,2)),VALUE(RIGHT($B$2,2)))
+ (VALUE(REGEXEXTRACT(INDIRECT(""A""&amp;ROW()+1),""\d+""))-1)*7
+ INT((COLUMN()-COLUMN($B271))/3)
"),46548)</f>
        <v>46548</v>
      </c>
      <c r="O271" s="81"/>
      <c r="P271" s="82"/>
      <c r="Q271" s="77">
        <f ca="1">IFERROR(__xludf.DUMMYFUNCTION("DATE(VALUE(LEFT($B$2,4)),VALUE(MID($B$2,6,2)),VALUE(RIGHT($B$2,2)))
+ (VALUE(REGEXEXTRACT(INDIRECT(""A""&amp;ROW()+1),""\d+""))-1)*7
+ INT((COLUMN()-COLUMN($B271))/3)
"),46549)</f>
        <v>46549</v>
      </c>
      <c r="R271" s="81"/>
      <c r="S271" s="82"/>
      <c r="T271" s="77">
        <f ca="1">IFERROR(__xludf.DUMMYFUNCTION("DATE(VALUE(LEFT($B$2,4)),VALUE(MID($B$2,6,2)),VALUE(RIGHT($B$2,2)))
+ (VALUE(REGEXEXTRACT(INDIRECT(""A""&amp;ROW()+1),""\d+""))-1)*7
+ INT((COLUMN()-COLUMN($B271))/3)
"),46550)</f>
        <v>46550</v>
      </c>
      <c r="U271" s="81"/>
      <c r="V271" s="82"/>
      <c r="W271" s="143"/>
    </row>
    <row r="272" spans="1:23" ht="15.75" customHeight="1">
      <c r="A272" s="51" t="s">
        <v>118</v>
      </c>
      <c r="B272" s="112"/>
      <c r="C272" s="111"/>
      <c r="D272" s="17">
        <f>V270+C272</f>
        <v>-1458</v>
      </c>
      <c r="E272" s="109"/>
      <c r="F272" s="109"/>
      <c r="G272" s="50">
        <f>D282+F272</f>
        <v>-1458</v>
      </c>
      <c r="H272" s="112"/>
      <c r="I272" s="111"/>
      <c r="J272" s="17">
        <f>G282+I272</f>
        <v>-1458</v>
      </c>
      <c r="K272" s="132"/>
      <c r="L272" s="109"/>
      <c r="M272" s="56">
        <f>J282+L272</f>
        <v>-1458</v>
      </c>
      <c r="N272" s="110"/>
      <c r="O272" s="111"/>
      <c r="P272" s="17">
        <f>M282+O272</f>
        <v>-1458</v>
      </c>
      <c r="Q272" s="109"/>
      <c r="R272" s="109"/>
      <c r="S272" s="35">
        <f>P282+R272</f>
        <v>-1458</v>
      </c>
      <c r="T272" s="112"/>
      <c r="U272" s="111"/>
      <c r="V272" s="48">
        <f>S282+U272</f>
        <v>-1458</v>
      </c>
      <c r="W272" s="143"/>
    </row>
    <row r="273" spans="1:23" ht="15.75" customHeight="1">
      <c r="A273" s="114"/>
      <c r="B273" s="106"/>
      <c r="C273" s="107"/>
      <c r="D273" s="26">
        <f t="shared" ref="D273:D282" si="161">D272+C273</f>
        <v>-1458</v>
      </c>
      <c r="E273" s="117"/>
      <c r="F273" s="117"/>
      <c r="G273" s="45">
        <f t="shared" ref="G273:G282" si="162">G272+F273</f>
        <v>-1458</v>
      </c>
      <c r="H273" s="106"/>
      <c r="I273" s="107"/>
      <c r="J273" s="26">
        <f t="shared" ref="J273:J282" si="163">J272+I273</f>
        <v>-1458</v>
      </c>
      <c r="K273" s="133"/>
      <c r="L273" s="117"/>
      <c r="M273" s="57">
        <f t="shared" ref="M273:M282" si="164">M272+L273</f>
        <v>-1458</v>
      </c>
      <c r="N273" s="116"/>
      <c r="O273" s="107"/>
      <c r="P273" s="26">
        <f t="shared" ref="P273:P282" si="165">P272+O273</f>
        <v>-1458</v>
      </c>
      <c r="Q273" s="117"/>
      <c r="R273" s="117"/>
      <c r="S273" s="19">
        <f t="shared" ref="S273:S282" si="166">S272+R273</f>
        <v>-1458</v>
      </c>
      <c r="T273" s="116"/>
      <c r="U273" s="107"/>
      <c r="V273" s="20">
        <f t="shared" ref="V273:V282" si="167">V272+U273</f>
        <v>-1458</v>
      </c>
      <c r="W273" s="143"/>
    </row>
    <row r="274" spans="1:23" ht="15.75" customHeight="1">
      <c r="A274" s="114"/>
      <c r="B274" s="106"/>
      <c r="C274" s="107"/>
      <c r="D274" s="26">
        <f t="shared" si="161"/>
        <v>-1458</v>
      </c>
      <c r="E274" s="117"/>
      <c r="F274" s="117"/>
      <c r="G274" s="45">
        <f t="shared" si="162"/>
        <v>-1458</v>
      </c>
      <c r="H274" s="106"/>
      <c r="I274" s="107"/>
      <c r="J274" s="26">
        <f t="shared" si="163"/>
        <v>-1458</v>
      </c>
      <c r="K274" s="133"/>
      <c r="L274" s="117"/>
      <c r="M274" s="57">
        <f t="shared" si="164"/>
        <v>-1458</v>
      </c>
      <c r="N274" s="116"/>
      <c r="O274" s="107"/>
      <c r="P274" s="26">
        <f t="shared" si="165"/>
        <v>-1458</v>
      </c>
      <c r="Q274" s="117"/>
      <c r="R274" s="117"/>
      <c r="S274" s="19">
        <f t="shared" si="166"/>
        <v>-1458</v>
      </c>
      <c r="T274" s="116"/>
      <c r="U274" s="116"/>
      <c r="V274" s="20">
        <f t="shared" si="167"/>
        <v>-1458</v>
      </c>
      <c r="W274" s="143"/>
    </row>
    <row r="275" spans="1:23" ht="15.75" customHeight="1">
      <c r="A275" s="114"/>
      <c r="B275" s="106"/>
      <c r="C275" s="107"/>
      <c r="D275" s="26">
        <f t="shared" si="161"/>
        <v>-1458</v>
      </c>
      <c r="E275" s="117"/>
      <c r="F275" s="117"/>
      <c r="G275" s="45">
        <f t="shared" si="162"/>
        <v>-1458</v>
      </c>
      <c r="H275" s="106"/>
      <c r="I275" s="107"/>
      <c r="J275" s="26">
        <f t="shared" si="163"/>
        <v>-1458</v>
      </c>
      <c r="K275" s="133"/>
      <c r="L275" s="117"/>
      <c r="M275" s="57">
        <f t="shared" si="164"/>
        <v>-1458</v>
      </c>
      <c r="N275" s="116"/>
      <c r="O275" s="107"/>
      <c r="P275" s="26">
        <f t="shared" si="165"/>
        <v>-1458</v>
      </c>
      <c r="Q275" s="117"/>
      <c r="R275" s="117"/>
      <c r="S275" s="19">
        <f t="shared" si="166"/>
        <v>-1458</v>
      </c>
      <c r="T275" s="116"/>
      <c r="U275" s="116"/>
      <c r="V275" s="20">
        <f t="shared" si="167"/>
        <v>-1458</v>
      </c>
      <c r="W275" s="143"/>
    </row>
    <row r="276" spans="1:23" ht="15.75" customHeight="1">
      <c r="A276" s="114"/>
      <c r="B276" s="106"/>
      <c r="C276" s="107"/>
      <c r="D276" s="26">
        <f t="shared" si="161"/>
        <v>-1458</v>
      </c>
      <c r="E276" s="117"/>
      <c r="F276" s="117"/>
      <c r="G276" s="45">
        <f t="shared" si="162"/>
        <v>-1458</v>
      </c>
      <c r="H276" s="106"/>
      <c r="I276" s="107"/>
      <c r="J276" s="26">
        <f t="shared" si="163"/>
        <v>-1458</v>
      </c>
      <c r="K276" s="133"/>
      <c r="L276" s="117"/>
      <c r="M276" s="57">
        <f t="shared" si="164"/>
        <v>-1458</v>
      </c>
      <c r="N276" s="116"/>
      <c r="O276" s="107"/>
      <c r="P276" s="26">
        <f t="shared" si="165"/>
        <v>-1458</v>
      </c>
      <c r="Q276" s="117"/>
      <c r="R276" s="117"/>
      <c r="S276" s="19">
        <f t="shared" si="166"/>
        <v>-1458</v>
      </c>
      <c r="T276" s="116"/>
      <c r="U276" s="116"/>
      <c r="V276" s="20">
        <f t="shared" si="167"/>
        <v>-1458</v>
      </c>
      <c r="W276" s="143"/>
    </row>
    <row r="277" spans="1:23" ht="15.75" customHeight="1">
      <c r="A277" s="114"/>
      <c r="B277" s="106"/>
      <c r="C277" s="107"/>
      <c r="D277" s="26">
        <f t="shared" si="161"/>
        <v>-1458</v>
      </c>
      <c r="E277" s="117"/>
      <c r="F277" s="117"/>
      <c r="G277" s="45">
        <f t="shared" si="162"/>
        <v>-1458</v>
      </c>
      <c r="H277" s="106"/>
      <c r="I277" s="107"/>
      <c r="J277" s="26">
        <f t="shared" si="163"/>
        <v>-1458</v>
      </c>
      <c r="K277" s="133"/>
      <c r="L277" s="117"/>
      <c r="M277" s="57">
        <f t="shared" si="164"/>
        <v>-1458</v>
      </c>
      <c r="N277" s="116"/>
      <c r="O277" s="107"/>
      <c r="P277" s="26">
        <f t="shared" si="165"/>
        <v>-1458</v>
      </c>
      <c r="Q277" s="117"/>
      <c r="R277" s="117"/>
      <c r="S277" s="19">
        <f t="shared" si="166"/>
        <v>-1458</v>
      </c>
      <c r="T277" s="116"/>
      <c r="U277" s="116"/>
      <c r="V277" s="20">
        <f t="shared" si="167"/>
        <v>-1458</v>
      </c>
      <c r="W277" s="143"/>
    </row>
    <row r="278" spans="1:23" ht="15.75" customHeight="1">
      <c r="A278" s="114"/>
      <c r="B278" s="106"/>
      <c r="C278" s="107"/>
      <c r="D278" s="26">
        <f t="shared" si="161"/>
        <v>-1458</v>
      </c>
      <c r="E278" s="117"/>
      <c r="F278" s="117"/>
      <c r="G278" s="45">
        <f t="shared" si="162"/>
        <v>-1458</v>
      </c>
      <c r="H278" s="106"/>
      <c r="I278" s="107"/>
      <c r="J278" s="26">
        <f t="shared" si="163"/>
        <v>-1458</v>
      </c>
      <c r="K278" s="133"/>
      <c r="L278" s="117"/>
      <c r="M278" s="57">
        <f t="shared" si="164"/>
        <v>-1458</v>
      </c>
      <c r="N278" s="116"/>
      <c r="O278" s="107"/>
      <c r="P278" s="26">
        <f t="shared" si="165"/>
        <v>-1458</v>
      </c>
      <c r="Q278" s="117"/>
      <c r="R278" s="117"/>
      <c r="S278" s="19">
        <f t="shared" si="166"/>
        <v>-1458</v>
      </c>
      <c r="T278" s="116"/>
      <c r="U278" s="116"/>
      <c r="V278" s="20">
        <f t="shared" si="167"/>
        <v>-1458</v>
      </c>
      <c r="W278" s="143"/>
    </row>
    <row r="279" spans="1:23" ht="15.75" customHeight="1">
      <c r="A279" s="114"/>
      <c r="B279" s="106"/>
      <c r="C279" s="107"/>
      <c r="D279" s="26">
        <f t="shared" si="161"/>
        <v>-1458</v>
      </c>
      <c r="E279" s="117"/>
      <c r="F279" s="117"/>
      <c r="G279" s="45">
        <f t="shared" si="162"/>
        <v>-1458</v>
      </c>
      <c r="H279" s="106"/>
      <c r="I279" s="107"/>
      <c r="J279" s="26">
        <f t="shared" si="163"/>
        <v>-1458</v>
      </c>
      <c r="K279" s="133"/>
      <c r="L279" s="117"/>
      <c r="M279" s="57">
        <f t="shared" si="164"/>
        <v>-1458</v>
      </c>
      <c r="N279" s="116"/>
      <c r="O279" s="107"/>
      <c r="P279" s="26">
        <f t="shared" si="165"/>
        <v>-1458</v>
      </c>
      <c r="Q279" s="117"/>
      <c r="R279" s="117"/>
      <c r="S279" s="19">
        <f t="shared" si="166"/>
        <v>-1458</v>
      </c>
      <c r="T279" s="116"/>
      <c r="U279" s="116"/>
      <c r="V279" s="20">
        <f t="shared" si="167"/>
        <v>-1458</v>
      </c>
      <c r="W279" s="143"/>
    </row>
    <row r="280" spans="1:23" ht="15.75" customHeight="1">
      <c r="A280" s="114"/>
      <c r="B280" s="122"/>
      <c r="C280" s="123"/>
      <c r="D280" s="26">
        <f t="shared" si="161"/>
        <v>-1458</v>
      </c>
      <c r="E280" s="117"/>
      <c r="F280" s="117"/>
      <c r="G280" s="45">
        <f t="shared" si="162"/>
        <v>-1458</v>
      </c>
      <c r="H280" s="122"/>
      <c r="I280" s="123"/>
      <c r="J280" s="26">
        <f t="shared" si="163"/>
        <v>-1458</v>
      </c>
      <c r="K280" s="133"/>
      <c r="L280" s="117"/>
      <c r="M280" s="57">
        <f t="shared" si="164"/>
        <v>-1458</v>
      </c>
      <c r="N280" s="116"/>
      <c r="O280" s="107"/>
      <c r="P280" s="26">
        <f t="shared" si="165"/>
        <v>-1458</v>
      </c>
      <c r="Q280" s="117"/>
      <c r="R280" s="117"/>
      <c r="S280" s="19">
        <f t="shared" si="166"/>
        <v>-1458</v>
      </c>
      <c r="T280" s="116"/>
      <c r="U280" s="116"/>
      <c r="V280" s="20">
        <f t="shared" si="167"/>
        <v>-1458</v>
      </c>
      <c r="W280" s="143"/>
    </row>
    <row r="281" spans="1:23" ht="15.75" customHeight="1">
      <c r="A281" s="114"/>
      <c r="B281" s="122"/>
      <c r="C281" s="123"/>
      <c r="D281" s="26">
        <f t="shared" si="161"/>
        <v>-1458</v>
      </c>
      <c r="E281" s="117"/>
      <c r="F281" s="117"/>
      <c r="G281" s="45">
        <f t="shared" si="162"/>
        <v>-1458</v>
      </c>
      <c r="H281" s="122"/>
      <c r="I281" s="123"/>
      <c r="J281" s="26">
        <f t="shared" si="163"/>
        <v>-1458</v>
      </c>
      <c r="K281" s="133"/>
      <c r="L281" s="117"/>
      <c r="M281" s="57">
        <f t="shared" si="164"/>
        <v>-1458</v>
      </c>
      <c r="N281" s="116"/>
      <c r="O281" s="123"/>
      <c r="P281" s="26">
        <f t="shared" si="165"/>
        <v>-1458</v>
      </c>
      <c r="Q281" s="117"/>
      <c r="R281" s="117"/>
      <c r="S281" s="19">
        <f t="shared" si="166"/>
        <v>-1458</v>
      </c>
      <c r="T281" s="124"/>
      <c r="U281" s="124"/>
      <c r="V281" s="20">
        <f t="shared" si="167"/>
        <v>-1458</v>
      </c>
      <c r="W281" s="143"/>
    </row>
    <row r="282" spans="1:23" ht="15.75" customHeight="1">
      <c r="A282" s="114"/>
      <c r="B282" s="122"/>
      <c r="C282" s="123"/>
      <c r="D282" s="39">
        <f t="shared" si="161"/>
        <v>-1458</v>
      </c>
      <c r="E282" s="128"/>
      <c r="F282" s="128"/>
      <c r="G282" s="46">
        <f t="shared" si="162"/>
        <v>-1458</v>
      </c>
      <c r="H282" s="122"/>
      <c r="I282" s="123"/>
      <c r="J282" s="39">
        <f t="shared" si="163"/>
        <v>-1458</v>
      </c>
      <c r="K282" s="140"/>
      <c r="L282" s="128"/>
      <c r="M282" s="58">
        <f t="shared" si="164"/>
        <v>-1458</v>
      </c>
      <c r="N282" s="124"/>
      <c r="O282" s="123"/>
      <c r="P282" s="39">
        <f t="shared" si="165"/>
        <v>-1458</v>
      </c>
      <c r="Q282" s="128"/>
      <c r="R282" s="128"/>
      <c r="S282" s="29">
        <f t="shared" si="166"/>
        <v>-1458</v>
      </c>
      <c r="T282" s="124"/>
      <c r="U282" s="123"/>
      <c r="V282" s="49">
        <f t="shared" si="167"/>
        <v>-1458</v>
      </c>
      <c r="W282" s="143"/>
    </row>
    <row r="283" spans="1:23" ht="15.75" customHeight="1">
      <c r="A283" s="87"/>
      <c r="B283" s="77">
        <f ca="1">IFERROR(__xludf.DUMMYFUNCTION("DATE(VALUE(LEFT($B$2,4)),VALUE(MID($B$2,6,2)),VALUE(RIGHT($B$2,2)))
+ (VALUE(REGEXEXTRACT(INDIRECT(""A""&amp;ROW()+1),""\d+""))-1)*7
+ INT((COLUMN()-COLUMN($B283))/3)
"),46551)</f>
        <v>46551</v>
      </c>
      <c r="C283" s="81"/>
      <c r="D283" s="82"/>
      <c r="E283" s="77">
        <f ca="1">IFERROR(__xludf.DUMMYFUNCTION("DATE(VALUE(LEFT($B$2,4)),VALUE(MID($B$2,6,2)),VALUE(RIGHT($B$2,2)))
+ (VALUE(REGEXEXTRACT(INDIRECT(""A""&amp;ROW()+1),""\d+""))-1)*7
+ INT((COLUMN()-COLUMN($B283))/3)
"),46552)</f>
        <v>46552</v>
      </c>
      <c r="F283" s="81"/>
      <c r="G283" s="82"/>
      <c r="H283" s="77">
        <f ca="1">IFERROR(__xludf.DUMMYFUNCTION("DATE(VALUE(LEFT($B$2,4)),VALUE(MID($B$2,6,2)),VALUE(RIGHT($B$2,2)))
+ (VALUE(REGEXEXTRACT(INDIRECT(""A""&amp;ROW()+1),""\d+""))-1)*7
+ INT((COLUMN()-COLUMN($B283))/3)
"),46553)</f>
        <v>46553</v>
      </c>
      <c r="I283" s="81"/>
      <c r="J283" s="82"/>
      <c r="K283" s="77">
        <f ca="1">IFERROR(__xludf.DUMMYFUNCTION("DATE(VALUE(LEFT($B$2,4)),VALUE(MID($B$2,6,2)),VALUE(RIGHT($B$2,2)))
+ (VALUE(REGEXEXTRACT(INDIRECT(""A""&amp;ROW()+1),""\d+""))-1)*7
+ INT((COLUMN()-COLUMN($B283))/3)
"),46554)</f>
        <v>46554</v>
      </c>
      <c r="L283" s="81"/>
      <c r="M283" s="82"/>
      <c r="N283" s="77">
        <f ca="1">IFERROR(__xludf.DUMMYFUNCTION("DATE(VALUE(LEFT($B$2,4)),VALUE(MID($B$2,6,2)),VALUE(RIGHT($B$2,2)))
+ (VALUE(REGEXEXTRACT(INDIRECT(""A""&amp;ROW()+1),""\d+""))-1)*7
+ INT((COLUMN()-COLUMN($B283))/3)
"),46555)</f>
        <v>46555</v>
      </c>
      <c r="O283" s="81"/>
      <c r="P283" s="82"/>
      <c r="Q283" s="77">
        <f ca="1">IFERROR(__xludf.DUMMYFUNCTION("DATE(VALUE(LEFT($B$2,4)),VALUE(MID($B$2,6,2)),VALUE(RIGHT($B$2,2)))
+ (VALUE(REGEXEXTRACT(INDIRECT(""A""&amp;ROW()+1),""\d+""))-1)*7
+ INT((COLUMN()-COLUMN($B283))/3)
"),46556)</f>
        <v>46556</v>
      </c>
      <c r="R283" s="81"/>
      <c r="S283" s="82"/>
      <c r="T283" s="77">
        <f ca="1">IFERROR(__xludf.DUMMYFUNCTION("DATE(VALUE(LEFT($B$2,4)),VALUE(MID($B$2,6,2)),VALUE(RIGHT($B$2,2)))
+ (VALUE(REGEXEXTRACT(INDIRECT(""A""&amp;ROW()+1),""\d+""))-1)*7
+ INT((COLUMN()-COLUMN($B283))/3)
"),46557)</f>
        <v>46557</v>
      </c>
      <c r="U283" s="81"/>
      <c r="V283" s="82"/>
      <c r="W283" s="52" t="s">
        <v>20</v>
      </c>
    </row>
    <row r="284" spans="1:23" ht="15.75" customHeight="1">
      <c r="A284" s="47" t="s">
        <v>153</v>
      </c>
      <c r="B284" s="109"/>
      <c r="C284" s="109"/>
      <c r="D284" s="42">
        <f>V282+C284</f>
        <v>-1458</v>
      </c>
      <c r="E284" s="112"/>
      <c r="F284" s="111"/>
      <c r="G284" s="48">
        <f>D294+F284</f>
        <v>-1458</v>
      </c>
      <c r="H284" s="113"/>
      <c r="I284" s="109"/>
      <c r="J284" s="42">
        <f>G294+I284</f>
        <v>-1458</v>
      </c>
      <c r="K284" s="110"/>
      <c r="L284" s="111"/>
      <c r="M284" s="18">
        <f>J294+L284</f>
        <v>-1458</v>
      </c>
      <c r="N284" s="113"/>
      <c r="O284" s="109"/>
      <c r="P284" s="35">
        <f>M294+O284</f>
        <v>-1458</v>
      </c>
      <c r="Q284" s="112"/>
      <c r="R284" s="111"/>
      <c r="S284" s="36">
        <f>P294+R284</f>
        <v>-1458</v>
      </c>
      <c r="T284" s="176"/>
      <c r="U284" s="173"/>
      <c r="V284" s="50">
        <f>S294+U284</f>
        <v>-1458</v>
      </c>
      <c r="W284" s="172"/>
    </row>
    <row r="285" spans="1:23" ht="15.75" customHeight="1">
      <c r="A285" s="114"/>
      <c r="B285" s="117"/>
      <c r="C285" s="117"/>
      <c r="D285" s="19">
        <f t="shared" ref="D285:D294" si="168">D284+C285</f>
        <v>-1458</v>
      </c>
      <c r="E285" s="106"/>
      <c r="F285" s="107"/>
      <c r="G285" s="20">
        <f t="shared" ref="G285:G294" si="169">G284+F285</f>
        <v>-1458</v>
      </c>
      <c r="H285" s="118"/>
      <c r="I285" s="117"/>
      <c r="J285" s="19">
        <f t="shared" ref="J285:J294" si="170">J284+I285</f>
        <v>-1458</v>
      </c>
      <c r="K285" s="116"/>
      <c r="L285" s="107"/>
      <c r="M285" s="26">
        <f t="shared" ref="M285:M294" si="171">M284+L285</f>
        <v>-1458</v>
      </c>
      <c r="N285" s="118"/>
      <c r="O285" s="117"/>
      <c r="P285" s="38">
        <f t="shared" ref="P285:P294" si="172">P284+O285</f>
        <v>-1458</v>
      </c>
      <c r="Q285" s="106"/>
      <c r="R285" s="107"/>
      <c r="S285" s="26">
        <f t="shared" ref="S285:S294" si="173">S284+R285</f>
        <v>-1458</v>
      </c>
      <c r="T285" s="177"/>
      <c r="U285" s="136"/>
      <c r="V285" s="45">
        <f t="shared" ref="V285:V294" si="174">V284+U285</f>
        <v>-1458</v>
      </c>
      <c r="W285" s="143"/>
    </row>
    <row r="286" spans="1:23" ht="15.75" customHeight="1">
      <c r="A286" s="114"/>
      <c r="B286" s="117"/>
      <c r="C286" s="117"/>
      <c r="D286" s="19">
        <f t="shared" si="168"/>
        <v>-1458</v>
      </c>
      <c r="E286" s="106"/>
      <c r="F286" s="107"/>
      <c r="G286" s="20">
        <f t="shared" si="169"/>
        <v>-1458</v>
      </c>
      <c r="H286" s="118"/>
      <c r="I286" s="117"/>
      <c r="J286" s="19">
        <f t="shared" si="170"/>
        <v>-1458</v>
      </c>
      <c r="K286" s="116"/>
      <c r="L286" s="107"/>
      <c r="M286" s="26">
        <f t="shared" si="171"/>
        <v>-1458</v>
      </c>
      <c r="N286" s="117"/>
      <c r="O286" s="117"/>
      <c r="P286" s="38">
        <f t="shared" si="172"/>
        <v>-1458</v>
      </c>
      <c r="Q286" s="106"/>
      <c r="R286" s="107"/>
      <c r="S286" s="26">
        <f t="shared" si="173"/>
        <v>-1458</v>
      </c>
      <c r="T286" s="177"/>
      <c r="U286" s="136"/>
      <c r="V286" s="45">
        <f t="shared" si="174"/>
        <v>-1458</v>
      </c>
      <c r="W286" s="143"/>
    </row>
    <row r="287" spans="1:23" ht="15.75" customHeight="1">
      <c r="A287" s="114"/>
      <c r="B287" s="117"/>
      <c r="C287" s="117"/>
      <c r="D287" s="19">
        <f t="shared" si="168"/>
        <v>-1458</v>
      </c>
      <c r="E287" s="106"/>
      <c r="F287" s="107"/>
      <c r="G287" s="20">
        <f t="shared" si="169"/>
        <v>-1458</v>
      </c>
      <c r="H287" s="118"/>
      <c r="I287" s="117"/>
      <c r="J287" s="19">
        <f t="shared" si="170"/>
        <v>-1458</v>
      </c>
      <c r="K287" s="116"/>
      <c r="L287" s="107"/>
      <c r="M287" s="26">
        <f t="shared" si="171"/>
        <v>-1458</v>
      </c>
      <c r="N287" s="117"/>
      <c r="O287" s="117"/>
      <c r="P287" s="38">
        <f t="shared" si="172"/>
        <v>-1458</v>
      </c>
      <c r="Q287" s="106"/>
      <c r="R287" s="107"/>
      <c r="S287" s="26">
        <f t="shared" si="173"/>
        <v>-1458</v>
      </c>
      <c r="T287" s="177"/>
      <c r="U287" s="136"/>
      <c r="V287" s="45">
        <f t="shared" si="174"/>
        <v>-1458</v>
      </c>
      <c r="W287" s="143"/>
    </row>
    <row r="288" spans="1:23" ht="15.75" customHeight="1">
      <c r="A288" s="114"/>
      <c r="B288" s="117"/>
      <c r="C288" s="117"/>
      <c r="D288" s="19">
        <f t="shared" si="168"/>
        <v>-1458</v>
      </c>
      <c r="E288" s="106"/>
      <c r="F288" s="107"/>
      <c r="G288" s="20">
        <f t="shared" si="169"/>
        <v>-1458</v>
      </c>
      <c r="H288" s="118"/>
      <c r="I288" s="117"/>
      <c r="J288" s="19">
        <f t="shared" si="170"/>
        <v>-1458</v>
      </c>
      <c r="K288" s="116"/>
      <c r="L288" s="107"/>
      <c r="M288" s="26">
        <f t="shared" si="171"/>
        <v>-1458</v>
      </c>
      <c r="N288" s="117"/>
      <c r="O288" s="117"/>
      <c r="P288" s="38">
        <f t="shared" si="172"/>
        <v>-1458</v>
      </c>
      <c r="Q288" s="106"/>
      <c r="R288" s="107"/>
      <c r="S288" s="26">
        <f t="shared" si="173"/>
        <v>-1458</v>
      </c>
      <c r="T288" s="177"/>
      <c r="U288" s="136"/>
      <c r="V288" s="45">
        <f t="shared" si="174"/>
        <v>-1458</v>
      </c>
      <c r="W288" s="143"/>
    </row>
    <row r="289" spans="1:23" ht="15.75" customHeight="1">
      <c r="A289" s="114"/>
      <c r="B289" s="118"/>
      <c r="C289" s="117"/>
      <c r="D289" s="19">
        <f t="shared" si="168"/>
        <v>-1458</v>
      </c>
      <c r="E289" s="106"/>
      <c r="F289" s="107"/>
      <c r="G289" s="20">
        <f t="shared" si="169"/>
        <v>-1458</v>
      </c>
      <c r="H289" s="118"/>
      <c r="I289" s="117"/>
      <c r="J289" s="19">
        <f t="shared" si="170"/>
        <v>-1458</v>
      </c>
      <c r="K289" s="116"/>
      <c r="L289" s="107"/>
      <c r="M289" s="26">
        <f t="shared" si="171"/>
        <v>-1458</v>
      </c>
      <c r="N289" s="117"/>
      <c r="O289" s="117"/>
      <c r="P289" s="38">
        <f t="shared" si="172"/>
        <v>-1458</v>
      </c>
      <c r="Q289" s="106"/>
      <c r="R289" s="107"/>
      <c r="S289" s="26">
        <f t="shared" si="173"/>
        <v>-1458</v>
      </c>
      <c r="T289" s="177"/>
      <c r="U289" s="136"/>
      <c r="V289" s="45">
        <f t="shared" si="174"/>
        <v>-1458</v>
      </c>
      <c r="W289" s="143"/>
    </row>
    <row r="290" spans="1:23" ht="15.75" customHeight="1">
      <c r="A290" s="114"/>
      <c r="B290" s="117"/>
      <c r="C290" s="117"/>
      <c r="D290" s="19">
        <f t="shared" si="168"/>
        <v>-1458</v>
      </c>
      <c r="E290" s="106"/>
      <c r="F290" s="107"/>
      <c r="G290" s="20">
        <f t="shared" si="169"/>
        <v>-1458</v>
      </c>
      <c r="H290" s="118"/>
      <c r="I290" s="117"/>
      <c r="J290" s="19">
        <f t="shared" si="170"/>
        <v>-1458</v>
      </c>
      <c r="K290" s="116"/>
      <c r="L290" s="107"/>
      <c r="M290" s="26">
        <f t="shared" si="171"/>
        <v>-1458</v>
      </c>
      <c r="N290" s="117"/>
      <c r="O290" s="117"/>
      <c r="P290" s="38">
        <f t="shared" si="172"/>
        <v>-1458</v>
      </c>
      <c r="Q290" s="106"/>
      <c r="R290" s="107"/>
      <c r="S290" s="26">
        <f t="shared" si="173"/>
        <v>-1458</v>
      </c>
      <c r="T290" s="177"/>
      <c r="U290" s="136"/>
      <c r="V290" s="45">
        <f t="shared" si="174"/>
        <v>-1458</v>
      </c>
      <c r="W290" s="143"/>
    </row>
    <row r="291" spans="1:23" ht="15.75" customHeight="1">
      <c r="A291" s="114"/>
      <c r="B291" s="117"/>
      <c r="C291" s="117"/>
      <c r="D291" s="19">
        <f t="shared" si="168"/>
        <v>-1458</v>
      </c>
      <c r="E291" s="106"/>
      <c r="F291" s="107"/>
      <c r="G291" s="20">
        <f t="shared" si="169"/>
        <v>-1458</v>
      </c>
      <c r="H291" s="118"/>
      <c r="I291" s="117"/>
      <c r="J291" s="19">
        <f t="shared" si="170"/>
        <v>-1458</v>
      </c>
      <c r="K291" s="116"/>
      <c r="L291" s="107"/>
      <c r="M291" s="26">
        <f t="shared" si="171"/>
        <v>-1458</v>
      </c>
      <c r="N291" s="117"/>
      <c r="O291" s="117"/>
      <c r="P291" s="38">
        <f t="shared" si="172"/>
        <v>-1458</v>
      </c>
      <c r="Q291" s="106"/>
      <c r="R291" s="107"/>
      <c r="S291" s="26">
        <f t="shared" si="173"/>
        <v>-1458</v>
      </c>
      <c r="T291" s="177"/>
      <c r="U291" s="136"/>
      <c r="V291" s="45">
        <f t="shared" si="174"/>
        <v>-1458</v>
      </c>
      <c r="W291" s="143"/>
    </row>
    <row r="292" spans="1:23" ht="15.75" customHeight="1">
      <c r="A292" s="114"/>
      <c r="B292" s="117"/>
      <c r="C292" s="117"/>
      <c r="D292" s="19">
        <f t="shared" si="168"/>
        <v>-1458</v>
      </c>
      <c r="E292" s="106"/>
      <c r="F292" s="107"/>
      <c r="G292" s="20">
        <f t="shared" si="169"/>
        <v>-1458</v>
      </c>
      <c r="H292" s="118"/>
      <c r="I292" s="117"/>
      <c r="J292" s="19">
        <f t="shared" si="170"/>
        <v>-1458</v>
      </c>
      <c r="K292" s="116"/>
      <c r="L292" s="107"/>
      <c r="M292" s="26">
        <f t="shared" si="171"/>
        <v>-1458</v>
      </c>
      <c r="N292" s="117"/>
      <c r="O292" s="117"/>
      <c r="P292" s="38">
        <f t="shared" si="172"/>
        <v>-1458</v>
      </c>
      <c r="Q292" s="106"/>
      <c r="R292" s="107"/>
      <c r="S292" s="26">
        <f t="shared" si="173"/>
        <v>-1458</v>
      </c>
      <c r="T292" s="177"/>
      <c r="U292" s="136"/>
      <c r="V292" s="45">
        <f t="shared" si="174"/>
        <v>-1458</v>
      </c>
      <c r="W292" s="143"/>
    </row>
    <row r="293" spans="1:23" ht="15.75" customHeight="1">
      <c r="A293" s="114"/>
      <c r="B293" s="117"/>
      <c r="C293" s="117"/>
      <c r="D293" s="19">
        <f t="shared" si="168"/>
        <v>-1458</v>
      </c>
      <c r="E293" s="122"/>
      <c r="F293" s="123"/>
      <c r="G293" s="20">
        <f t="shared" si="169"/>
        <v>-1458</v>
      </c>
      <c r="H293" s="118"/>
      <c r="I293" s="117"/>
      <c r="J293" s="19">
        <f t="shared" si="170"/>
        <v>-1458</v>
      </c>
      <c r="K293" s="124"/>
      <c r="L293" s="123"/>
      <c r="M293" s="26">
        <f t="shared" si="171"/>
        <v>-1458</v>
      </c>
      <c r="N293" s="117"/>
      <c r="O293" s="117"/>
      <c r="P293" s="38">
        <f t="shared" si="172"/>
        <v>-1458</v>
      </c>
      <c r="Q293" s="122"/>
      <c r="R293" s="123"/>
      <c r="S293" s="26">
        <f t="shared" si="173"/>
        <v>-1458</v>
      </c>
      <c r="T293" s="177"/>
      <c r="U293" s="136"/>
      <c r="V293" s="45">
        <f t="shared" si="174"/>
        <v>-1458</v>
      </c>
      <c r="W293" s="143"/>
    </row>
    <row r="294" spans="1:23" ht="15.75" customHeight="1">
      <c r="A294" s="114"/>
      <c r="B294" s="128"/>
      <c r="C294" s="128"/>
      <c r="D294" s="29">
        <f t="shared" si="168"/>
        <v>-1458</v>
      </c>
      <c r="E294" s="122"/>
      <c r="F294" s="123"/>
      <c r="G294" s="49">
        <f t="shared" si="169"/>
        <v>-1458</v>
      </c>
      <c r="H294" s="154"/>
      <c r="I294" s="128"/>
      <c r="J294" s="29">
        <f t="shared" si="170"/>
        <v>-1458</v>
      </c>
      <c r="K294" s="124"/>
      <c r="L294" s="123"/>
      <c r="M294" s="39">
        <f t="shared" si="171"/>
        <v>-1458</v>
      </c>
      <c r="N294" s="128"/>
      <c r="O294" s="128"/>
      <c r="P294" s="40">
        <f t="shared" si="172"/>
        <v>-1458</v>
      </c>
      <c r="Q294" s="122"/>
      <c r="R294" s="123"/>
      <c r="S294" s="39">
        <f t="shared" si="173"/>
        <v>-1458</v>
      </c>
      <c r="T294" s="178"/>
      <c r="U294" s="141"/>
      <c r="V294" s="46">
        <f t="shared" si="174"/>
        <v>-1458</v>
      </c>
      <c r="W294" s="143"/>
    </row>
    <row r="295" spans="1:23" ht="15.75" customHeight="1">
      <c r="A295" s="87"/>
      <c r="B295" s="77">
        <f ca="1">IFERROR(__xludf.DUMMYFUNCTION("DATE(VALUE(LEFT($B$2,4)),VALUE(MID($B$2,6,2)),VALUE(RIGHT($B$2,2)))
+ (VALUE(REGEXEXTRACT(INDIRECT(""A""&amp;ROW()+1),""\d+""))-1)*7
+ INT((COLUMN()-COLUMN($B295))/3)
"),46558)</f>
        <v>46558</v>
      </c>
      <c r="C295" s="81"/>
      <c r="D295" s="82"/>
      <c r="E295" s="77">
        <f ca="1">IFERROR(__xludf.DUMMYFUNCTION("DATE(VALUE(LEFT($B$2,4)),VALUE(MID($B$2,6,2)),VALUE(RIGHT($B$2,2)))
+ (VALUE(REGEXEXTRACT(INDIRECT(""A""&amp;ROW()+1),""\d+""))-1)*7
+ INT((COLUMN()-COLUMN($B295))/3)
"),46559)</f>
        <v>46559</v>
      </c>
      <c r="F295" s="81"/>
      <c r="G295" s="82"/>
      <c r="H295" s="77">
        <f ca="1">IFERROR(__xludf.DUMMYFUNCTION("DATE(VALUE(LEFT($B$2,4)),VALUE(MID($B$2,6,2)),VALUE(RIGHT($B$2,2)))
+ (VALUE(REGEXEXTRACT(INDIRECT(""A""&amp;ROW()+1),""\d+""))-1)*7
+ INT((COLUMN()-COLUMN($B295))/3)
"),46560)</f>
        <v>46560</v>
      </c>
      <c r="I295" s="81"/>
      <c r="J295" s="82"/>
      <c r="K295" s="77">
        <f ca="1">IFERROR(__xludf.DUMMYFUNCTION("DATE(VALUE(LEFT($B$2,4)),VALUE(MID($B$2,6,2)),VALUE(RIGHT($B$2,2)))
+ (VALUE(REGEXEXTRACT(INDIRECT(""A""&amp;ROW()+1),""\d+""))-1)*7
+ INT((COLUMN()-COLUMN($B295))/3)
"),46561)</f>
        <v>46561</v>
      </c>
      <c r="L295" s="81"/>
      <c r="M295" s="82"/>
      <c r="N295" s="77">
        <f ca="1">IFERROR(__xludf.DUMMYFUNCTION("DATE(VALUE(LEFT($B$2,4)),VALUE(MID($B$2,6,2)),VALUE(RIGHT($B$2,2)))
+ (VALUE(REGEXEXTRACT(INDIRECT(""A""&amp;ROW()+1),""\d+""))-1)*7
+ INT((COLUMN()-COLUMN($B295))/3)
"),46562)</f>
        <v>46562</v>
      </c>
      <c r="O295" s="81"/>
      <c r="P295" s="82"/>
      <c r="Q295" s="77">
        <f ca="1">IFERROR(__xludf.DUMMYFUNCTION("DATE(VALUE(LEFT($B$2,4)),VALUE(MID($B$2,6,2)),VALUE(RIGHT($B$2,2)))
+ (VALUE(REGEXEXTRACT(INDIRECT(""A""&amp;ROW()+1),""\d+""))-1)*7
+ INT((COLUMN()-COLUMN($B295))/3)
"),46563)</f>
        <v>46563</v>
      </c>
      <c r="R295" s="81"/>
      <c r="S295" s="82"/>
      <c r="T295" s="77">
        <f ca="1">IFERROR(__xludf.DUMMYFUNCTION("DATE(VALUE(LEFT($B$2,4)),VALUE(MID($B$2,6,2)),VALUE(RIGHT($B$2,2)))
+ (VALUE(REGEXEXTRACT(INDIRECT(""A""&amp;ROW()+1),""\d+""))-1)*7
+ INT((COLUMN()-COLUMN($B295))/3)
"),46564)</f>
        <v>46564</v>
      </c>
      <c r="U295" s="81"/>
      <c r="V295" s="82"/>
      <c r="W295" s="143"/>
    </row>
    <row r="296" spans="1:23" ht="15.75" customHeight="1">
      <c r="A296" s="51" t="s">
        <v>154</v>
      </c>
      <c r="B296" s="112"/>
      <c r="C296" s="111"/>
      <c r="D296" s="17">
        <f>V294+C296</f>
        <v>-1458</v>
      </c>
      <c r="E296" s="109"/>
      <c r="F296" s="109"/>
      <c r="G296" s="42">
        <f>D306+F296</f>
        <v>-1458</v>
      </c>
      <c r="H296" s="112"/>
      <c r="I296" s="111"/>
      <c r="J296" s="17">
        <f>G306+I296</f>
        <v>-1458</v>
      </c>
      <c r="K296" s="109"/>
      <c r="L296" s="109"/>
      <c r="M296" s="35">
        <f>J306+L296</f>
        <v>-1458</v>
      </c>
      <c r="N296" s="112"/>
      <c r="O296" s="111"/>
      <c r="P296" s="17">
        <f>M306+O296</f>
        <v>-1458</v>
      </c>
      <c r="Q296" s="109"/>
      <c r="R296" s="109"/>
      <c r="S296" s="42">
        <f>P306+R296</f>
        <v>-1458</v>
      </c>
      <c r="T296" s="110"/>
      <c r="U296" s="111"/>
      <c r="V296" s="48">
        <f>S306+U296</f>
        <v>-1458</v>
      </c>
      <c r="W296" s="143"/>
    </row>
    <row r="297" spans="1:23" ht="15.75" customHeight="1">
      <c r="A297" s="114"/>
      <c r="B297" s="106"/>
      <c r="C297" s="107"/>
      <c r="D297" s="26">
        <f t="shared" ref="D297:D306" si="175">D296+C297</f>
        <v>-1458</v>
      </c>
      <c r="E297" s="117"/>
      <c r="F297" s="117"/>
      <c r="G297" s="19">
        <f t="shared" ref="G297:G306" si="176">G296+F297</f>
        <v>-1458</v>
      </c>
      <c r="H297" s="106"/>
      <c r="I297" s="107"/>
      <c r="J297" s="26">
        <f t="shared" ref="J297:J306" si="177">J296+I297</f>
        <v>-1458</v>
      </c>
      <c r="K297" s="117"/>
      <c r="L297" s="117"/>
      <c r="M297" s="38">
        <f t="shared" ref="M297:M306" si="178">M296+L297</f>
        <v>-1458</v>
      </c>
      <c r="N297" s="106"/>
      <c r="O297" s="107"/>
      <c r="P297" s="26">
        <f t="shared" ref="P297:P306" si="179">P296+O297</f>
        <v>-1458</v>
      </c>
      <c r="Q297" s="117"/>
      <c r="R297" s="117"/>
      <c r="S297" s="19">
        <f t="shared" ref="S297:S306" si="180">S296+R297</f>
        <v>-1458</v>
      </c>
      <c r="T297" s="106"/>
      <c r="U297" s="107"/>
      <c r="V297" s="20">
        <f t="shared" ref="V297:V306" si="181">V296+U297</f>
        <v>-1458</v>
      </c>
      <c r="W297" s="143"/>
    </row>
    <row r="298" spans="1:23" ht="15.75" customHeight="1">
      <c r="A298" s="114"/>
      <c r="B298" s="106"/>
      <c r="C298" s="107"/>
      <c r="D298" s="26">
        <f t="shared" si="175"/>
        <v>-1458</v>
      </c>
      <c r="E298" s="117"/>
      <c r="F298" s="117"/>
      <c r="G298" s="19">
        <f t="shared" si="176"/>
        <v>-1458</v>
      </c>
      <c r="H298" s="106"/>
      <c r="I298" s="107"/>
      <c r="J298" s="26">
        <f t="shared" si="177"/>
        <v>-1458</v>
      </c>
      <c r="K298" s="117"/>
      <c r="L298" s="117"/>
      <c r="M298" s="38">
        <f t="shared" si="178"/>
        <v>-1458</v>
      </c>
      <c r="N298" s="106"/>
      <c r="O298" s="107"/>
      <c r="P298" s="26">
        <f t="shared" si="179"/>
        <v>-1458</v>
      </c>
      <c r="Q298" s="117"/>
      <c r="R298" s="117"/>
      <c r="S298" s="19">
        <f t="shared" si="180"/>
        <v>-1458</v>
      </c>
      <c r="T298" s="106"/>
      <c r="U298" s="107"/>
      <c r="V298" s="20">
        <f t="shared" si="181"/>
        <v>-1458</v>
      </c>
      <c r="W298" s="143"/>
    </row>
    <row r="299" spans="1:23" ht="15.75" customHeight="1">
      <c r="A299" s="114"/>
      <c r="B299" s="106"/>
      <c r="C299" s="107"/>
      <c r="D299" s="26">
        <f t="shared" si="175"/>
        <v>-1458</v>
      </c>
      <c r="E299" s="117"/>
      <c r="F299" s="117"/>
      <c r="G299" s="19">
        <f t="shared" si="176"/>
        <v>-1458</v>
      </c>
      <c r="H299" s="106"/>
      <c r="I299" s="107"/>
      <c r="J299" s="26">
        <f t="shared" si="177"/>
        <v>-1458</v>
      </c>
      <c r="K299" s="117"/>
      <c r="L299" s="117"/>
      <c r="M299" s="38">
        <f t="shared" si="178"/>
        <v>-1458</v>
      </c>
      <c r="N299" s="106"/>
      <c r="O299" s="107"/>
      <c r="P299" s="26">
        <f t="shared" si="179"/>
        <v>-1458</v>
      </c>
      <c r="Q299" s="117"/>
      <c r="R299" s="117"/>
      <c r="S299" s="19">
        <f t="shared" si="180"/>
        <v>-1458</v>
      </c>
      <c r="T299" s="116"/>
      <c r="U299" s="116"/>
      <c r="V299" s="20">
        <f t="shared" si="181"/>
        <v>-1458</v>
      </c>
      <c r="W299" s="143"/>
    </row>
    <row r="300" spans="1:23" ht="15.75" customHeight="1">
      <c r="A300" s="114"/>
      <c r="B300" s="106"/>
      <c r="C300" s="107"/>
      <c r="D300" s="26">
        <f t="shared" si="175"/>
        <v>-1458</v>
      </c>
      <c r="E300" s="117"/>
      <c r="F300" s="117"/>
      <c r="G300" s="19">
        <f t="shared" si="176"/>
        <v>-1458</v>
      </c>
      <c r="H300" s="106"/>
      <c r="I300" s="107"/>
      <c r="J300" s="26">
        <f t="shared" si="177"/>
        <v>-1458</v>
      </c>
      <c r="K300" s="117"/>
      <c r="L300" s="117"/>
      <c r="M300" s="38">
        <f t="shared" si="178"/>
        <v>-1458</v>
      </c>
      <c r="N300" s="106"/>
      <c r="O300" s="107"/>
      <c r="P300" s="26">
        <f t="shared" si="179"/>
        <v>-1458</v>
      </c>
      <c r="Q300" s="117"/>
      <c r="R300" s="117"/>
      <c r="S300" s="19">
        <f t="shared" si="180"/>
        <v>-1458</v>
      </c>
      <c r="T300" s="116"/>
      <c r="U300" s="116"/>
      <c r="V300" s="20">
        <f t="shared" si="181"/>
        <v>-1458</v>
      </c>
      <c r="W300" s="143"/>
    </row>
    <row r="301" spans="1:23" ht="15.75" customHeight="1">
      <c r="A301" s="114"/>
      <c r="B301" s="106"/>
      <c r="C301" s="107"/>
      <c r="D301" s="26">
        <f t="shared" si="175"/>
        <v>-1458</v>
      </c>
      <c r="E301" s="117"/>
      <c r="F301" s="117"/>
      <c r="G301" s="19">
        <f t="shared" si="176"/>
        <v>-1458</v>
      </c>
      <c r="H301" s="106"/>
      <c r="I301" s="107"/>
      <c r="J301" s="26">
        <f t="shared" si="177"/>
        <v>-1458</v>
      </c>
      <c r="K301" s="117"/>
      <c r="L301" s="117"/>
      <c r="M301" s="38">
        <f t="shared" si="178"/>
        <v>-1458</v>
      </c>
      <c r="N301" s="106"/>
      <c r="O301" s="107"/>
      <c r="P301" s="26">
        <f t="shared" si="179"/>
        <v>-1458</v>
      </c>
      <c r="Q301" s="117"/>
      <c r="R301" s="117"/>
      <c r="S301" s="19">
        <f t="shared" si="180"/>
        <v>-1458</v>
      </c>
      <c r="T301" s="116"/>
      <c r="U301" s="116"/>
      <c r="V301" s="20">
        <f t="shared" si="181"/>
        <v>-1458</v>
      </c>
      <c r="W301" s="143"/>
    </row>
    <row r="302" spans="1:23" ht="15.75" customHeight="1">
      <c r="A302" s="114"/>
      <c r="B302" s="106"/>
      <c r="C302" s="107"/>
      <c r="D302" s="26">
        <f t="shared" si="175"/>
        <v>-1458</v>
      </c>
      <c r="E302" s="117"/>
      <c r="F302" s="117"/>
      <c r="G302" s="19">
        <f t="shared" si="176"/>
        <v>-1458</v>
      </c>
      <c r="H302" s="106"/>
      <c r="I302" s="107"/>
      <c r="J302" s="26">
        <f t="shared" si="177"/>
        <v>-1458</v>
      </c>
      <c r="K302" s="117"/>
      <c r="L302" s="117"/>
      <c r="M302" s="38">
        <f t="shared" si="178"/>
        <v>-1458</v>
      </c>
      <c r="N302" s="106"/>
      <c r="O302" s="107"/>
      <c r="P302" s="26">
        <f t="shared" si="179"/>
        <v>-1458</v>
      </c>
      <c r="Q302" s="117"/>
      <c r="R302" s="117"/>
      <c r="S302" s="19">
        <f t="shared" si="180"/>
        <v>-1458</v>
      </c>
      <c r="T302" s="116"/>
      <c r="U302" s="116"/>
      <c r="V302" s="20">
        <f t="shared" si="181"/>
        <v>-1458</v>
      </c>
      <c r="W302" s="143"/>
    </row>
    <row r="303" spans="1:23" ht="15.75" customHeight="1">
      <c r="A303" s="114"/>
      <c r="B303" s="106"/>
      <c r="C303" s="107"/>
      <c r="D303" s="26">
        <f t="shared" si="175"/>
        <v>-1458</v>
      </c>
      <c r="E303" s="117"/>
      <c r="F303" s="117"/>
      <c r="G303" s="19">
        <f t="shared" si="176"/>
        <v>-1458</v>
      </c>
      <c r="H303" s="106"/>
      <c r="I303" s="107"/>
      <c r="J303" s="26">
        <f t="shared" si="177"/>
        <v>-1458</v>
      </c>
      <c r="K303" s="117"/>
      <c r="L303" s="117"/>
      <c r="M303" s="38">
        <f t="shared" si="178"/>
        <v>-1458</v>
      </c>
      <c r="N303" s="106"/>
      <c r="O303" s="107"/>
      <c r="P303" s="26">
        <f t="shared" si="179"/>
        <v>-1458</v>
      </c>
      <c r="Q303" s="117"/>
      <c r="R303" s="117"/>
      <c r="S303" s="19">
        <f t="shared" si="180"/>
        <v>-1458</v>
      </c>
      <c r="T303" s="116"/>
      <c r="U303" s="116"/>
      <c r="V303" s="20">
        <f t="shared" si="181"/>
        <v>-1458</v>
      </c>
      <c r="W303" s="143"/>
    </row>
    <row r="304" spans="1:23" ht="15.75" customHeight="1">
      <c r="A304" s="114"/>
      <c r="B304" s="122"/>
      <c r="C304" s="123"/>
      <c r="D304" s="26">
        <f t="shared" si="175"/>
        <v>-1458</v>
      </c>
      <c r="E304" s="117"/>
      <c r="F304" s="117"/>
      <c r="G304" s="19">
        <f t="shared" si="176"/>
        <v>-1458</v>
      </c>
      <c r="H304" s="122"/>
      <c r="I304" s="123"/>
      <c r="J304" s="26">
        <f t="shared" si="177"/>
        <v>-1458</v>
      </c>
      <c r="K304" s="117"/>
      <c r="L304" s="117"/>
      <c r="M304" s="38">
        <f t="shared" si="178"/>
        <v>-1458</v>
      </c>
      <c r="N304" s="122"/>
      <c r="O304" s="123"/>
      <c r="P304" s="26">
        <f t="shared" si="179"/>
        <v>-1458</v>
      </c>
      <c r="Q304" s="117"/>
      <c r="R304" s="117"/>
      <c r="S304" s="19">
        <f t="shared" si="180"/>
        <v>-1458</v>
      </c>
      <c r="T304" s="116"/>
      <c r="U304" s="116"/>
      <c r="V304" s="20">
        <f t="shared" si="181"/>
        <v>-1458</v>
      </c>
      <c r="W304" s="143"/>
    </row>
    <row r="305" spans="1:23" ht="15.75" customHeight="1">
      <c r="A305" s="114"/>
      <c r="B305" s="122"/>
      <c r="C305" s="123"/>
      <c r="D305" s="26">
        <f t="shared" si="175"/>
        <v>-1458</v>
      </c>
      <c r="E305" s="117"/>
      <c r="F305" s="117"/>
      <c r="G305" s="19">
        <f t="shared" si="176"/>
        <v>-1458</v>
      </c>
      <c r="H305" s="122"/>
      <c r="I305" s="123"/>
      <c r="J305" s="26">
        <f t="shared" si="177"/>
        <v>-1458</v>
      </c>
      <c r="K305" s="117"/>
      <c r="L305" s="117"/>
      <c r="M305" s="38">
        <f t="shared" si="178"/>
        <v>-1458</v>
      </c>
      <c r="N305" s="122"/>
      <c r="O305" s="123"/>
      <c r="P305" s="26">
        <f t="shared" si="179"/>
        <v>-1458</v>
      </c>
      <c r="Q305" s="117"/>
      <c r="R305" s="117"/>
      <c r="S305" s="19">
        <f t="shared" si="180"/>
        <v>-1458</v>
      </c>
      <c r="T305" s="124"/>
      <c r="U305" s="124"/>
      <c r="V305" s="20">
        <f t="shared" si="181"/>
        <v>-1458</v>
      </c>
      <c r="W305" s="143"/>
    </row>
    <row r="306" spans="1:23" ht="15.75" customHeight="1">
      <c r="A306" s="114"/>
      <c r="B306" s="122"/>
      <c r="C306" s="123"/>
      <c r="D306" s="39">
        <f t="shared" si="175"/>
        <v>-1458</v>
      </c>
      <c r="E306" s="128"/>
      <c r="F306" s="128"/>
      <c r="G306" s="29">
        <f t="shared" si="176"/>
        <v>-1458</v>
      </c>
      <c r="H306" s="122"/>
      <c r="I306" s="123"/>
      <c r="J306" s="39">
        <f t="shared" si="177"/>
        <v>-1458</v>
      </c>
      <c r="K306" s="128"/>
      <c r="L306" s="128"/>
      <c r="M306" s="40">
        <f t="shared" si="178"/>
        <v>-1458</v>
      </c>
      <c r="N306" s="122"/>
      <c r="O306" s="123"/>
      <c r="P306" s="39">
        <f t="shared" si="179"/>
        <v>-1458</v>
      </c>
      <c r="Q306" s="128"/>
      <c r="R306" s="128"/>
      <c r="S306" s="29">
        <f t="shared" si="180"/>
        <v>-1458</v>
      </c>
      <c r="T306" s="124"/>
      <c r="U306" s="123"/>
      <c r="V306" s="49">
        <f t="shared" si="181"/>
        <v>-1458</v>
      </c>
      <c r="W306" s="143"/>
    </row>
    <row r="307" spans="1:23" ht="15.75" customHeight="1">
      <c r="A307" s="87"/>
      <c r="B307" s="77">
        <f ca="1">IFERROR(__xludf.DUMMYFUNCTION("DATE(VALUE(LEFT($B$2,4)),VALUE(MID($B$2,6,2)),VALUE(RIGHT($B$2,2)))
+ (VALUE(REGEXEXTRACT(INDIRECT(""A""&amp;ROW()+1),""\d+""))-1)*7
+ INT((COLUMN()-COLUMN($B307))/3)
"),46565)</f>
        <v>46565</v>
      </c>
      <c r="C307" s="81"/>
      <c r="D307" s="82"/>
      <c r="E307" s="77">
        <f ca="1">IFERROR(__xludf.DUMMYFUNCTION("DATE(VALUE(LEFT($B$2,4)),VALUE(MID($B$2,6,2)),VALUE(RIGHT($B$2,2)))
+ (VALUE(REGEXEXTRACT(INDIRECT(""A""&amp;ROW()+1),""\d+""))-1)*7
+ INT((COLUMN()-COLUMN($B307))/3)
"),46566)</f>
        <v>46566</v>
      </c>
      <c r="F307" s="81"/>
      <c r="G307" s="82"/>
      <c r="H307" s="77">
        <f ca="1">IFERROR(__xludf.DUMMYFUNCTION("DATE(VALUE(LEFT($B$2,4)),VALUE(MID($B$2,6,2)),VALUE(RIGHT($B$2,2)))
+ (VALUE(REGEXEXTRACT(INDIRECT(""A""&amp;ROW()+1),""\d+""))-1)*7
+ INT((COLUMN()-COLUMN($B307))/3)
"),46567)</f>
        <v>46567</v>
      </c>
      <c r="I307" s="81"/>
      <c r="J307" s="82"/>
      <c r="K307" s="77">
        <f ca="1">IFERROR(__xludf.DUMMYFUNCTION("DATE(VALUE(LEFT($B$2,4)),VALUE(MID($B$2,6,2)),VALUE(RIGHT($B$2,2)))
+ (VALUE(REGEXEXTRACT(INDIRECT(""A""&amp;ROW()+1),""\d+""))-1)*7
+ INT((COLUMN()-COLUMN($B307))/3)
"),46568)</f>
        <v>46568</v>
      </c>
      <c r="L307" s="81"/>
      <c r="M307" s="82"/>
      <c r="N307" s="77">
        <f ca="1">IFERROR(__xludf.DUMMYFUNCTION("DATE(VALUE(LEFT($B$2,4)),VALUE(MID($B$2,6,2)),VALUE(RIGHT($B$2,2)))
+ (VALUE(REGEXEXTRACT(INDIRECT(""A""&amp;ROW()+1),""\d+""))-1)*7
+ INT((COLUMN()-COLUMN($B307))/3)
"),46569)</f>
        <v>46569</v>
      </c>
      <c r="O307" s="81"/>
      <c r="P307" s="82"/>
      <c r="Q307" s="77">
        <f ca="1">IFERROR(__xludf.DUMMYFUNCTION("DATE(VALUE(LEFT($B$2,4)),VALUE(MID($B$2,6,2)),VALUE(RIGHT($B$2,2)))
+ (VALUE(REGEXEXTRACT(INDIRECT(""A""&amp;ROW()+1),""\d+""))-1)*7
+ INT((COLUMN()-COLUMN($B307))/3)
"),46570)</f>
        <v>46570</v>
      </c>
      <c r="R307" s="81"/>
      <c r="S307" s="82"/>
      <c r="T307" s="77">
        <f ca="1">IFERROR(__xludf.DUMMYFUNCTION("DATE(VALUE(LEFT($B$2,4)),VALUE(MID($B$2,6,2)),VALUE(RIGHT($B$2,2)))
+ (VALUE(REGEXEXTRACT(INDIRECT(""A""&amp;ROW()+1),""\d+""))-1)*7
+ INT((COLUMN()-COLUMN($B307))/3)
"),46571)</f>
        <v>46571</v>
      </c>
      <c r="U307" s="81"/>
      <c r="V307" s="82"/>
      <c r="W307" s="52" t="s">
        <v>20</v>
      </c>
    </row>
    <row r="308" spans="1:23" ht="15.75" customHeight="1">
      <c r="A308" s="47" t="s">
        <v>155</v>
      </c>
      <c r="B308" s="113"/>
      <c r="C308" s="109"/>
      <c r="D308" s="50">
        <f>V306+C308</f>
        <v>-1458</v>
      </c>
      <c r="E308" s="179"/>
      <c r="F308" s="180"/>
      <c r="G308" s="36">
        <f>D318+F308</f>
        <v>-1458</v>
      </c>
      <c r="H308" s="132"/>
      <c r="I308" s="109"/>
      <c r="J308" s="42">
        <f>G318+I308</f>
        <v>-1458</v>
      </c>
      <c r="K308" s="110"/>
      <c r="L308" s="111"/>
      <c r="M308" s="18">
        <f>J318+L308</f>
        <v>-1458</v>
      </c>
      <c r="N308" s="113"/>
      <c r="O308" s="109"/>
      <c r="P308" s="35">
        <f>M318+O308</f>
        <v>-1458</v>
      </c>
      <c r="Q308" s="112"/>
      <c r="R308" s="111"/>
      <c r="S308" s="17">
        <f>P318+R308</f>
        <v>-1458</v>
      </c>
      <c r="T308" s="176"/>
      <c r="U308" s="173"/>
      <c r="V308" s="50">
        <f>S318+U308</f>
        <v>-1458</v>
      </c>
      <c r="W308" s="172"/>
    </row>
    <row r="309" spans="1:23" ht="15.75" customHeight="1">
      <c r="A309" s="114"/>
      <c r="B309" s="118"/>
      <c r="C309" s="117"/>
      <c r="D309" s="45">
        <f t="shared" ref="D309:D318" si="182">D308+C309</f>
        <v>-1458</v>
      </c>
      <c r="E309" s="106"/>
      <c r="F309" s="107"/>
      <c r="G309" s="26">
        <f t="shared" ref="G309:G318" si="183">G308+F309</f>
        <v>-1458</v>
      </c>
      <c r="H309" s="133"/>
      <c r="I309" s="117"/>
      <c r="J309" s="19">
        <f t="shared" ref="J309:J318" si="184">J308+I309</f>
        <v>-1458</v>
      </c>
      <c r="K309" s="116"/>
      <c r="L309" s="107"/>
      <c r="M309" s="26">
        <f t="shared" ref="M309:M318" si="185">M308+L309</f>
        <v>-1458</v>
      </c>
      <c r="N309" s="118"/>
      <c r="O309" s="117"/>
      <c r="P309" s="38">
        <f t="shared" ref="P309:P318" si="186">P308+O309</f>
        <v>-1458</v>
      </c>
      <c r="Q309" s="106"/>
      <c r="R309" s="107"/>
      <c r="S309" s="26">
        <f t="shared" ref="S309:S318" si="187">S308+R309</f>
        <v>-1458</v>
      </c>
      <c r="T309" s="177"/>
      <c r="U309" s="136"/>
      <c r="V309" s="45">
        <f t="shared" ref="V309:V318" si="188">V308+U309</f>
        <v>-1458</v>
      </c>
      <c r="W309" s="143"/>
    </row>
    <row r="310" spans="1:23" ht="15.75" customHeight="1">
      <c r="A310" s="114"/>
      <c r="B310" s="118"/>
      <c r="C310" s="117"/>
      <c r="D310" s="45">
        <f t="shared" si="182"/>
        <v>-1458</v>
      </c>
      <c r="E310" s="106"/>
      <c r="F310" s="107"/>
      <c r="G310" s="26">
        <f t="shared" si="183"/>
        <v>-1458</v>
      </c>
      <c r="H310" s="133"/>
      <c r="I310" s="117"/>
      <c r="J310" s="19">
        <f t="shared" si="184"/>
        <v>-1458</v>
      </c>
      <c r="K310" s="116"/>
      <c r="L310" s="107"/>
      <c r="M310" s="26">
        <f t="shared" si="185"/>
        <v>-1458</v>
      </c>
      <c r="N310" s="117"/>
      <c r="O310" s="117"/>
      <c r="P310" s="38">
        <f t="shared" si="186"/>
        <v>-1458</v>
      </c>
      <c r="Q310" s="106"/>
      <c r="R310" s="107"/>
      <c r="S310" s="26">
        <f t="shared" si="187"/>
        <v>-1458</v>
      </c>
      <c r="T310" s="177"/>
      <c r="U310" s="136"/>
      <c r="V310" s="45">
        <f t="shared" si="188"/>
        <v>-1458</v>
      </c>
      <c r="W310" s="143"/>
    </row>
    <row r="311" spans="1:23" ht="15.75" customHeight="1">
      <c r="A311" s="114"/>
      <c r="B311" s="118"/>
      <c r="C311" s="117"/>
      <c r="D311" s="45">
        <f t="shared" si="182"/>
        <v>-1458</v>
      </c>
      <c r="E311" s="106"/>
      <c r="F311" s="107"/>
      <c r="G311" s="26">
        <f t="shared" si="183"/>
        <v>-1458</v>
      </c>
      <c r="H311" s="133"/>
      <c r="I311" s="117"/>
      <c r="J311" s="19">
        <f t="shared" si="184"/>
        <v>-1458</v>
      </c>
      <c r="K311" s="116"/>
      <c r="L311" s="107"/>
      <c r="M311" s="26">
        <f t="shared" si="185"/>
        <v>-1458</v>
      </c>
      <c r="N311" s="117"/>
      <c r="O311" s="117"/>
      <c r="P311" s="38">
        <f t="shared" si="186"/>
        <v>-1458</v>
      </c>
      <c r="Q311" s="106"/>
      <c r="R311" s="107"/>
      <c r="S311" s="26">
        <f t="shared" si="187"/>
        <v>-1458</v>
      </c>
      <c r="T311" s="177"/>
      <c r="U311" s="136"/>
      <c r="V311" s="45">
        <f t="shared" si="188"/>
        <v>-1458</v>
      </c>
      <c r="W311" s="143"/>
    </row>
    <row r="312" spans="1:23" ht="15.75" customHeight="1">
      <c r="A312" s="114"/>
      <c r="B312" s="118"/>
      <c r="C312" s="117"/>
      <c r="D312" s="45">
        <f t="shared" si="182"/>
        <v>-1458</v>
      </c>
      <c r="E312" s="106"/>
      <c r="F312" s="107"/>
      <c r="G312" s="26">
        <f t="shared" si="183"/>
        <v>-1458</v>
      </c>
      <c r="H312" s="133"/>
      <c r="I312" s="117"/>
      <c r="J312" s="19">
        <f t="shared" si="184"/>
        <v>-1458</v>
      </c>
      <c r="K312" s="116"/>
      <c r="L312" s="107"/>
      <c r="M312" s="26">
        <f t="shared" si="185"/>
        <v>-1458</v>
      </c>
      <c r="N312" s="117"/>
      <c r="O312" s="117"/>
      <c r="P312" s="38">
        <f t="shared" si="186"/>
        <v>-1458</v>
      </c>
      <c r="Q312" s="106"/>
      <c r="R312" s="107"/>
      <c r="S312" s="26">
        <f t="shared" si="187"/>
        <v>-1458</v>
      </c>
      <c r="T312" s="177"/>
      <c r="U312" s="136"/>
      <c r="V312" s="45">
        <f t="shared" si="188"/>
        <v>-1458</v>
      </c>
      <c r="W312" s="143"/>
    </row>
    <row r="313" spans="1:23" ht="15.75" customHeight="1">
      <c r="A313" s="114"/>
      <c r="B313" s="118"/>
      <c r="C313" s="117"/>
      <c r="D313" s="45">
        <f t="shared" si="182"/>
        <v>-1458</v>
      </c>
      <c r="E313" s="106"/>
      <c r="F313" s="107"/>
      <c r="G313" s="26">
        <f t="shared" si="183"/>
        <v>-1458</v>
      </c>
      <c r="H313" s="133"/>
      <c r="I313" s="117"/>
      <c r="J313" s="19">
        <f t="shared" si="184"/>
        <v>-1458</v>
      </c>
      <c r="K313" s="116"/>
      <c r="L313" s="107"/>
      <c r="M313" s="26">
        <f t="shared" si="185"/>
        <v>-1458</v>
      </c>
      <c r="N313" s="117"/>
      <c r="O313" s="117"/>
      <c r="P313" s="38">
        <f t="shared" si="186"/>
        <v>-1458</v>
      </c>
      <c r="Q313" s="106"/>
      <c r="R313" s="107"/>
      <c r="S313" s="26">
        <f t="shared" si="187"/>
        <v>-1458</v>
      </c>
      <c r="T313" s="177"/>
      <c r="U313" s="136"/>
      <c r="V313" s="45">
        <f t="shared" si="188"/>
        <v>-1458</v>
      </c>
      <c r="W313" s="143"/>
    </row>
    <row r="314" spans="1:23" ht="15.75" customHeight="1">
      <c r="A314" s="114"/>
      <c r="B314" s="117"/>
      <c r="C314" s="117"/>
      <c r="D314" s="45">
        <f t="shared" si="182"/>
        <v>-1458</v>
      </c>
      <c r="E314" s="106"/>
      <c r="F314" s="107"/>
      <c r="G314" s="26">
        <f t="shared" si="183"/>
        <v>-1458</v>
      </c>
      <c r="H314" s="133"/>
      <c r="I314" s="117"/>
      <c r="J314" s="19">
        <f t="shared" si="184"/>
        <v>-1458</v>
      </c>
      <c r="K314" s="106"/>
      <c r="L314" s="107"/>
      <c r="M314" s="26">
        <f t="shared" si="185"/>
        <v>-1458</v>
      </c>
      <c r="N314" s="117"/>
      <c r="O314" s="117"/>
      <c r="P314" s="38">
        <f t="shared" si="186"/>
        <v>-1458</v>
      </c>
      <c r="Q314" s="106"/>
      <c r="R314" s="107"/>
      <c r="S314" s="26">
        <f t="shared" si="187"/>
        <v>-1458</v>
      </c>
      <c r="T314" s="177"/>
      <c r="U314" s="136"/>
      <c r="V314" s="45">
        <f t="shared" si="188"/>
        <v>-1458</v>
      </c>
      <c r="W314" s="143"/>
    </row>
    <row r="315" spans="1:23" ht="15.75" customHeight="1">
      <c r="A315" s="114"/>
      <c r="B315" s="117"/>
      <c r="C315" s="117"/>
      <c r="D315" s="45">
        <f t="shared" si="182"/>
        <v>-1458</v>
      </c>
      <c r="E315" s="106"/>
      <c r="F315" s="107"/>
      <c r="G315" s="26">
        <f t="shared" si="183"/>
        <v>-1458</v>
      </c>
      <c r="H315" s="133"/>
      <c r="I315" s="117"/>
      <c r="J315" s="19">
        <f t="shared" si="184"/>
        <v>-1458</v>
      </c>
      <c r="K315" s="106"/>
      <c r="L315" s="107"/>
      <c r="M315" s="26">
        <f t="shared" si="185"/>
        <v>-1458</v>
      </c>
      <c r="N315" s="117"/>
      <c r="O315" s="117"/>
      <c r="P315" s="38">
        <f t="shared" si="186"/>
        <v>-1458</v>
      </c>
      <c r="Q315" s="106"/>
      <c r="R315" s="107"/>
      <c r="S315" s="26">
        <f t="shared" si="187"/>
        <v>-1458</v>
      </c>
      <c r="T315" s="177"/>
      <c r="U315" s="136"/>
      <c r="V315" s="45">
        <f t="shared" si="188"/>
        <v>-1458</v>
      </c>
      <c r="W315" s="143"/>
    </row>
    <row r="316" spans="1:23" ht="15.75" customHeight="1">
      <c r="A316" s="114"/>
      <c r="B316" s="117"/>
      <c r="C316" s="117"/>
      <c r="D316" s="45">
        <f t="shared" si="182"/>
        <v>-1458</v>
      </c>
      <c r="E316" s="106"/>
      <c r="F316" s="107"/>
      <c r="G316" s="26">
        <f t="shared" si="183"/>
        <v>-1458</v>
      </c>
      <c r="H316" s="133"/>
      <c r="I316" s="117"/>
      <c r="J316" s="19">
        <f t="shared" si="184"/>
        <v>-1458</v>
      </c>
      <c r="K316" s="106"/>
      <c r="L316" s="107"/>
      <c r="M316" s="26">
        <f t="shared" si="185"/>
        <v>-1458</v>
      </c>
      <c r="N316" s="117"/>
      <c r="O316" s="117"/>
      <c r="P316" s="38">
        <f t="shared" si="186"/>
        <v>-1458</v>
      </c>
      <c r="Q316" s="106"/>
      <c r="R316" s="107"/>
      <c r="S316" s="26">
        <f t="shared" si="187"/>
        <v>-1458</v>
      </c>
      <c r="T316" s="177"/>
      <c r="U316" s="136"/>
      <c r="V316" s="45">
        <f t="shared" si="188"/>
        <v>-1458</v>
      </c>
      <c r="W316" s="143"/>
    </row>
    <row r="317" spans="1:23" ht="15.75" customHeight="1">
      <c r="A317" s="114"/>
      <c r="B317" s="117"/>
      <c r="C317" s="117"/>
      <c r="D317" s="45">
        <f t="shared" si="182"/>
        <v>-1458</v>
      </c>
      <c r="E317" s="122"/>
      <c r="F317" s="123"/>
      <c r="G317" s="26">
        <f t="shared" si="183"/>
        <v>-1458</v>
      </c>
      <c r="H317" s="133"/>
      <c r="I317" s="117"/>
      <c r="J317" s="19">
        <f t="shared" si="184"/>
        <v>-1458</v>
      </c>
      <c r="K317" s="122"/>
      <c r="L317" s="123"/>
      <c r="M317" s="26">
        <f t="shared" si="185"/>
        <v>-1458</v>
      </c>
      <c r="N317" s="117"/>
      <c r="O317" s="117"/>
      <c r="P317" s="38">
        <f t="shared" si="186"/>
        <v>-1458</v>
      </c>
      <c r="Q317" s="122"/>
      <c r="R317" s="123"/>
      <c r="S317" s="26">
        <f t="shared" si="187"/>
        <v>-1458</v>
      </c>
      <c r="T317" s="177"/>
      <c r="U317" s="136"/>
      <c r="V317" s="45">
        <f t="shared" si="188"/>
        <v>-1458</v>
      </c>
      <c r="W317" s="143"/>
    </row>
    <row r="318" spans="1:23" ht="15.75" customHeight="1">
      <c r="A318" s="114"/>
      <c r="B318" s="128"/>
      <c r="C318" s="128"/>
      <c r="D318" s="46">
        <f t="shared" si="182"/>
        <v>-1458</v>
      </c>
      <c r="E318" s="122"/>
      <c r="F318" s="123"/>
      <c r="G318" s="39">
        <f t="shared" si="183"/>
        <v>-1458</v>
      </c>
      <c r="H318" s="140"/>
      <c r="I318" s="128"/>
      <c r="J318" s="29">
        <f t="shared" si="184"/>
        <v>-1458</v>
      </c>
      <c r="K318" s="122"/>
      <c r="L318" s="123"/>
      <c r="M318" s="39">
        <f t="shared" si="185"/>
        <v>-1458</v>
      </c>
      <c r="N318" s="128"/>
      <c r="O318" s="128"/>
      <c r="P318" s="40">
        <f t="shared" si="186"/>
        <v>-1458</v>
      </c>
      <c r="Q318" s="122"/>
      <c r="R318" s="123"/>
      <c r="S318" s="39">
        <f t="shared" si="187"/>
        <v>-1458</v>
      </c>
      <c r="T318" s="178"/>
      <c r="U318" s="141"/>
      <c r="V318" s="46">
        <f t="shared" si="188"/>
        <v>-1458</v>
      </c>
      <c r="W318" s="143"/>
    </row>
    <row r="319" spans="1:23" ht="15.75" customHeight="1">
      <c r="A319" s="87"/>
      <c r="B319" s="77">
        <f ca="1">IFERROR(__xludf.DUMMYFUNCTION("DATE(VALUE(LEFT($B$2,4)),VALUE(MID($B$2,6,2)),VALUE(RIGHT($B$2,2)))
+ (VALUE(REGEXEXTRACT(INDIRECT(""A""&amp;ROW()+1),""\d+""))-1)*7
+ INT((COLUMN()-COLUMN($B319))/3)
"),46572)</f>
        <v>46572</v>
      </c>
      <c r="C319" s="81"/>
      <c r="D319" s="82"/>
      <c r="E319" s="77">
        <f ca="1">IFERROR(__xludf.DUMMYFUNCTION("DATE(VALUE(LEFT($B$2,4)),VALUE(MID($B$2,6,2)),VALUE(RIGHT($B$2,2)))
+ (VALUE(REGEXEXTRACT(INDIRECT(""A""&amp;ROW()+1),""\d+""))-1)*7
+ INT((COLUMN()-COLUMN($B319))/3)
"),46573)</f>
        <v>46573</v>
      </c>
      <c r="F319" s="81"/>
      <c r="G319" s="82"/>
      <c r="H319" s="77">
        <f ca="1">IFERROR(__xludf.DUMMYFUNCTION("DATE(VALUE(LEFT($B$2,4)),VALUE(MID($B$2,6,2)),VALUE(RIGHT($B$2,2)))
+ (VALUE(REGEXEXTRACT(INDIRECT(""A""&amp;ROW()+1),""\d+""))-1)*7
+ INT((COLUMN()-COLUMN($B319))/3)
"),46574)</f>
        <v>46574</v>
      </c>
      <c r="I319" s="81"/>
      <c r="J319" s="82"/>
      <c r="K319" s="77">
        <f ca="1">IFERROR(__xludf.DUMMYFUNCTION("DATE(VALUE(LEFT($B$2,4)),VALUE(MID($B$2,6,2)),VALUE(RIGHT($B$2,2)))
+ (VALUE(REGEXEXTRACT(INDIRECT(""A""&amp;ROW()+1),""\d+""))-1)*7
+ INT((COLUMN()-COLUMN($B319))/3)
"),46575)</f>
        <v>46575</v>
      </c>
      <c r="L319" s="81"/>
      <c r="M319" s="82"/>
      <c r="N319" s="77">
        <f ca="1">IFERROR(__xludf.DUMMYFUNCTION("DATE(VALUE(LEFT($B$2,4)),VALUE(MID($B$2,6,2)),VALUE(RIGHT($B$2,2)))
+ (VALUE(REGEXEXTRACT(INDIRECT(""A""&amp;ROW()+1),""\d+""))-1)*7
+ INT((COLUMN()-COLUMN($B319))/3)
"),46576)</f>
        <v>46576</v>
      </c>
      <c r="O319" s="81"/>
      <c r="P319" s="82"/>
      <c r="Q319" s="77">
        <f ca="1">IFERROR(__xludf.DUMMYFUNCTION("DATE(VALUE(LEFT($B$2,4)),VALUE(MID($B$2,6,2)),VALUE(RIGHT($B$2,2)))
+ (VALUE(REGEXEXTRACT(INDIRECT(""A""&amp;ROW()+1),""\d+""))-1)*7
+ INT((COLUMN()-COLUMN($B319))/3)
"),46577)</f>
        <v>46577</v>
      </c>
      <c r="R319" s="81"/>
      <c r="S319" s="82"/>
      <c r="T319" s="77">
        <f ca="1">IFERROR(__xludf.DUMMYFUNCTION("DATE(VALUE(LEFT($B$2,4)),VALUE(MID($B$2,6,2)),VALUE(RIGHT($B$2,2)))
+ (VALUE(REGEXEXTRACT(INDIRECT(""A""&amp;ROW()+1),""\d+""))-1)*7
+ INT((COLUMN()-COLUMN($B319))/3)
"),46578)</f>
        <v>46578</v>
      </c>
      <c r="U319" s="81"/>
      <c r="V319" s="82"/>
      <c r="W319" s="143"/>
    </row>
    <row r="320" spans="1:23" ht="15.75" customHeight="1">
      <c r="A320" s="51" t="s">
        <v>156</v>
      </c>
      <c r="B320" s="112"/>
      <c r="C320" s="111"/>
      <c r="D320" s="48">
        <f>V318+C320</f>
        <v>-1458</v>
      </c>
      <c r="E320" s="113"/>
      <c r="F320" s="109"/>
      <c r="G320" s="42">
        <f>D330+F320</f>
        <v>-1458</v>
      </c>
      <c r="H320" s="110"/>
      <c r="I320" s="111"/>
      <c r="J320" s="17">
        <f>G330+I320</f>
        <v>-1458</v>
      </c>
      <c r="K320" s="109"/>
      <c r="L320" s="109"/>
      <c r="M320" s="35">
        <f>J330+L320</f>
        <v>-1458</v>
      </c>
      <c r="N320" s="112"/>
      <c r="O320" s="111"/>
      <c r="P320" s="17">
        <f>M330+O320</f>
        <v>-1458</v>
      </c>
      <c r="Q320" s="109"/>
      <c r="R320" s="109"/>
      <c r="S320" s="42">
        <f>P330+R320</f>
        <v>-1458</v>
      </c>
      <c r="T320" s="110"/>
      <c r="U320" s="111"/>
      <c r="V320" s="48">
        <f>S330+U320</f>
        <v>-1458</v>
      </c>
      <c r="W320" s="143"/>
    </row>
    <row r="321" spans="1:23" ht="15.75" customHeight="1">
      <c r="A321" s="114"/>
      <c r="B321" s="106"/>
      <c r="C321" s="107"/>
      <c r="D321" s="20">
        <f t="shared" ref="D321:D330" si="189">D320+C321</f>
        <v>-1458</v>
      </c>
      <c r="E321" s="118"/>
      <c r="F321" s="117"/>
      <c r="G321" s="19">
        <f t="shared" ref="G321:G330" si="190">G320+F321</f>
        <v>-1458</v>
      </c>
      <c r="H321" s="116"/>
      <c r="I321" s="107"/>
      <c r="J321" s="26">
        <f t="shared" ref="J321:J330" si="191">J320+I321</f>
        <v>-1458</v>
      </c>
      <c r="K321" s="117"/>
      <c r="L321" s="117"/>
      <c r="M321" s="38">
        <f t="shared" ref="M321:M330" si="192">M320+L321</f>
        <v>-1458</v>
      </c>
      <c r="N321" s="106"/>
      <c r="O321" s="107"/>
      <c r="P321" s="26">
        <f t="shared" ref="P321:P330" si="193">P320+O321</f>
        <v>-1458</v>
      </c>
      <c r="Q321" s="117"/>
      <c r="R321" s="117"/>
      <c r="S321" s="19">
        <f t="shared" ref="S321:S330" si="194">S320+R321</f>
        <v>-1458</v>
      </c>
      <c r="T321" s="116"/>
      <c r="U321" s="107"/>
      <c r="V321" s="20">
        <f t="shared" ref="V321:V330" si="195">V320+U321</f>
        <v>-1458</v>
      </c>
      <c r="W321" s="143"/>
    </row>
    <row r="322" spans="1:23" ht="15.75" customHeight="1">
      <c r="A322" s="114"/>
      <c r="B322" s="106"/>
      <c r="C322" s="107"/>
      <c r="D322" s="20">
        <f t="shared" si="189"/>
        <v>-1458</v>
      </c>
      <c r="E322" s="118"/>
      <c r="F322" s="117"/>
      <c r="G322" s="19">
        <f t="shared" si="190"/>
        <v>-1458</v>
      </c>
      <c r="H322" s="116"/>
      <c r="I322" s="107"/>
      <c r="J322" s="26">
        <f t="shared" si="191"/>
        <v>-1458</v>
      </c>
      <c r="K322" s="117"/>
      <c r="L322" s="117"/>
      <c r="M322" s="38">
        <f t="shared" si="192"/>
        <v>-1458</v>
      </c>
      <c r="N322" s="106"/>
      <c r="O322" s="107"/>
      <c r="P322" s="26">
        <f t="shared" si="193"/>
        <v>-1458</v>
      </c>
      <c r="Q322" s="117"/>
      <c r="R322" s="117"/>
      <c r="S322" s="19">
        <f t="shared" si="194"/>
        <v>-1458</v>
      </c>
      <c r="T322" s="116"/>
      <c r="U322" s="107"/>
      <c r="V322" s="20">
        <f t="shared" si="195"/>
        <v>-1458</v>
      </c>
      <c r="W322" s="143"/>
    </row>
    <row r="323" spans="1:23" ht="15.75" customHeight="1">
      <c r="A323" s="114"/>
      <c r="B323" s="106"/>
      <c r="C323" s="107"/>
      <c r="D323" s="20">
        <f t="shared" si="189"/>
        <v>-1458</v>
      </c>
      <c r="E323" s="118"/>
      <c r="F323" s="117"/>
      <c r="G323" s="19">
        <f t="shared" si="190"/>
        <v>-1458</v>
      </c>
      <c r="H323" s="116"/>
      <c r="I323" s="107"/>
      <c r="J323" s="26">
        <f t="shared" si="191"/>
        <v>-1458</v>
      </c>
      <c r="K323" s="117"/>
      <c r="L323" s="117"/>
      <c r="M323" s="38">
        <f t="shared" si="192"/>
        <v>-1458</v>
      </c>
      <c r="N323" s="106"/>
      <c r="O323" s="107"/>
      <c r="P323" s="26">
        <f t="shared" si="193"/>
        <v>-1458</v>
      </c>
      <c r="Q323" s="117"/>
      <c r="R323" s="117"/>
      <c r="S323" s="19">
        <f t="shared" si="194"/>
        <v>-1458</v>
      </c>
      <c r="T323" s="116"/>
      <c r="U323" s="107"/>
      <c r="V323" s="20">
        <f t="shared" si="195"/>
        <v>-1458</v>
      </c>
      <c r="W323" s="143"/>
    </row>
    <row r="324" spans="1:23" ht="15.75" customHeight="1">
      <c r="A324" s="114"/>
      <c r="B324" s="106"/>
      <c r="C324" s="107"/>
      <c r="D324" s="20">
        <f t="shared" si="189"/>
        <v>-1458</v>
      </c>
      <c r="E324" s="118"/>
      <c r="F324" s="117"/>
      <c r="G324" s="19">
        <f t="shared" si="190"/>
        <v>-1458</v>
      </c>
      <c r="H324" s="116"/>
      <c r="I324" s="107"/>
      <c r="J324" s="26">
        <f t="shared" si="191"/>
        <v>-1458</v>
      </c>
      <c r="K324" s="117"/>
      <c r="L324" s="117"/>
      <c r="M324" s="38">
        <f t="shared" si="192"/>
        <v>-1458</v>
      </c>
      <c r="N324" s="106"/>
      <c r="O324" s="107"/>
      <c r="P324" s="26">
        <f t="shared" si="193"/>
        <v>-1458</v>
      </c>
      <c r="Q324" s="117"/>
      <c r="R324" s="117"/>
      <c r="S324" s="19">
        <f t="shared" si="194"/>
        <v>-1458</v>
      </c>
      <c r="T324" s="116"/>
      <c r="U324" s="107"/>
      <c r="V324" s="20">
        <f t="shared" si="195"/>
        <v>-1458</v>
      </c>
      <c r="W324" s="143"/>
    </row>
    <row r="325" spans="1:23" ht="15.75" customHeight="1">
      <c r="A325" s="114"/>
      <c r="B325" s="106"/>
      <c r="C325" s="107"/>
      <c r="D325" s="20">
        <f t="shared" si="189"/>
        <v>-1458</v>
      </c>
      <c r="E325" s="118"/>
      <c r="F325" s="117"/>
      <c r="G325" s="19">
        <f t="shared" si="190"/>
        <v>-1458</v>
      </c>
      <c r="H325" s="116"/>
      <c r="I325" s="107"/>
      <c r="J325" s="26">
        <f t="shared" si="191"/>
        <v>-1458</v>
      </c>
      <c r="K325" s="117"/>
      <c r="L325" s="117"/>
      <c r="M325" s="38">
        <f t="shared" si="192"/>
        <v>-1458</v>
      </c>
      <c r="N325" s="106"/>
      <c r="O325" s="107"/>
      <c r="P325" s="26">
        <f t="shared" si="193"/>
        <v>-1458</v>
      </c>
      <c r="Q325" s="117"/>
      <c r="R325" s="117"/>
      <c r="S325" s="19">
        <f t="shared" si="194"/>
        <v>-1458</v>
      </c>
      <c r="T325" s="116"/>
      <c r="U325" s="107"/>
      <c r="V325" s="20">
        <f t="shared" si="195"/>
        <v>-1458</v>
      </c>
      <c r="W325" s="143"/>
    </row>
    <row r="326" spans="1:23" ht="15.75" customHeight="1">
      <c r="A326" s="114"/>
      <c r="B326" s="106"/>
      <c r="C326" s="107"/>
      <c r="D326" s="20">
        <f t="shared" si="189"/>
        <v>-1458</v>
      </c>
      <c r="E326" s="118"/>
      <c r="F326" s="117"/>
      <c r="G326" s="19">
        <f t="shared" si="190"/>
        <v>-1458</v>
      </c>
      <c r="H326" s="116"/>
      <c r="I326" s="107"/>
      <c r="J326" s="26">
        <f t="shared" si="191"/>
        <v>-1458</v>
      </c>
      <c r="K326" s="117"/>
      <c r="L326" s="117"/>
      <c r="M326" s="38">
        <f t="shared" si="192"/>
        <v>-1458</v>
      </c>
      <c r="N326" s="106"/>
      <c r="O326" s="107"/>
      <c r="P326" s="26">
        <f t="shared" si="193"/>
        <v>-1458</v>
      </c>
      <c r="Q326" s="117"/>
      <c r="R326" s="117"/>
      <c r="S326" s="19">
        <f t="shared" si="194"/>
        <v>-1458</v>
      </c>
      <c r="T326" s="116"/>
      <c r="U326" s="107"/>
      <c r="V326" s="20">
        <f t="shared" si="195"/>
        <v>-1458</v>
      </c>
      <c r="W326" s="143"/>
    </row>
    <row r="327" spans="1:23" ht="15.75" customHeight="1">
      <c r="A327" s="114"/>
      <c r="B327" s="106"/>
      <c r="C327" s="107"/>
      <c r="D327" s="20">
        <f t="shared" si="189"/>
        <v>-1458</v>
      </c>
      <c r="E327" s="118"/>
      <c r="F327" s="117"/>
      <c r="G327" s="19">
        <f t="shared" si="190"/>
        <v>-1458</v>
      </c>
      <c r="H327" s="116"/>
      <c r="I327" s="107"/>
      <c r="J327" s="26">
        <f t="shared" si="191"/>
        <v>-1458</v>
      </c>
      <c r="K327" s="117"/>
      <c r="L327" s="117"/>
      <c r="M327" s="38">
        <f t="shared" si="192"/>
        <v>-1458</v>
      </c>
      <c r="N327" s="106"/>
      <c r="O327" s="107"/>
      <c r="P327" s="26">
        <f t="shared" si="193"/>
        <v>-1458</v>
      </c>
      <c r="Q327" s="117"/>
      <c r="R327" s="117"/>
      <c r="S327" s="19">
        <f t="shared" si="194"/>
        <v>-1458</v>
      </c>
      <c r="T327" s="116"/>
      <c r="U327" s="107"/>
      <c r="V327" s="20">
        <f t="shared" si="195"/>
        <v>-1458</v>
      </c>
      <c r="W327" s="143"/>
    </row>
    <row r="328" spans="1:23" ht="15.75" customHeight="1">
      <c r="A328" s="114"/>
      <c r="B328" s="122"/>
      <c r="C328" s="123"/>
      <c r="D328" s="20">
        <f t="shared" si="189"/>
        <v>-1458</v>
      </c>
      <c r="E328" s="118"/>
      <c r="F328" s="117"/>
      <c r="G328" s="19">
        <f t="shared" si="190"/>
        <v>-1458</v>
      </c>
      <c r="H328" s="124"/>
      <c r="I328" s="123"/>
      <c r="J328" s="26">
        <f t="shared" si="191"/>
        <v>-1458</v>
      </c>
      <c r="K328" s="117"/>
      <c r="L328" s="117"/>
      <c r="M328" s="38">
        <f t="shared" si="192"/>
        <v>-1458</v>
      </c>
      <c r="N328" s="122"/>
      <c r="O328" s="123"/>
      <c r="P328" s="26">
        <f t="shared" si="193"/>
        <v>-1458</v>
      </c>
      <c r="Q328" s="117"/>
      <c r="R328" s="117"/>
      <c r="S328" s="19">
        <f t="shared" si="194"/>
        <v>-1458</v>
      </c>
      <c r="T328" s="116"/>
      <c r="U328" s="107"/>
      <c r="V328" s="20">
        <f t="shared" si="195"/>
        <v>-1458</v>
      </c>
      <c r="W328" s="143"/>
    </row>
    <row r="329" spans="1:23" ht="15.75" customHeight="1">
      <c r="A329" s="114"/>
      <c r="B329" s="122"/>
      <c r="C329" s="123"/>
      <c r="D329" s="20">
        <f t="shared" si="189"/>
        <v>-1458</v>
      </c>
      <c r="E329" s="118"/>
      <c r="F329" s="117"/>
      <c r="G329" s="19">
        <f t="shared" si="190"/>
        <v>-1458</v>
      </c>
      <c r="H329" s="124"/>
      <c r="I329" s="123"/>
      <c r="J329" s="26">
        <f t="shared" si="191"/>
        <v>-1458</v>
      </c>
      <c r="K329" s="117"/>
      <c r="L329" s="117"/>
      <c r="M329" s="38">
        <f t="shared" si="192"/>
        <v>-1458</v>
      </c>
      <c r="N329" s="122"/>
      <c r="O329" s="123"/>
      <c r="P329" s="26">
        <f t="shared" si="193"/>
        <v>-1458</v>
      </c>
      <c r="Q329" s="117"/>
      <c r="R329" s="117"/>
      <c r="S329" s="19">
        <f t="shared" si="194"/>
        <v>-1458</v>
      </c>
      <c r="T329" s="124"/>
      <c r="U329" s="124"/>
      <c r="V329" s="20">
        <f t="shared" si="195"/>
        <v>-1458</v>
      </c>
      <c r="W329" s="143"/>
    </row>
    <row r="330" spans="1:23" ht="15.75" customHeight="1">
      <c r="A330" s="114"/>
      <c r="B330" s="122"/>
      <c r="C330" s="123"/>
      <c r="D330" s="49">
        <f t="shared" si="189"/>
        <v>-1458</v>
      </c>
      <c r="E330" s="154"/>
      <c r="F330" s="128"/>
      <c r="G330" s="29">
        <f t="shared" si="190"/>
        <v>-1458</v>
      </c>
      <c r="H330" s="124"/>
      <c r="I330" s="123"/>
      <c r="J330" s="39">
        <f t="shared" si="191"/>
        <v>-1458</v>
      </c>
      <c r="K330" s="128"/>
      <c r="L330" s="128"/>
      <c r="M330" s="40">
        <f t="shared" si="192"/>
        <v>-1458</v>
      </c>
      <c r="N330" s="122"/>
      <c r="O330" s="123"/>
      <c r="P330" s="39">
        <f t="shared" si="193"/>
        <v>-1458</v>
      </c>
      <c r="Q330" s="128"/>
      <c r="R330" s="128"/>
      <c r="S330" s="29">
        <f t="shared" si="194"/>
        <v>-1458</v>
      </c>
      <c r="T330" s="124"/>
      <c r="U330" s="123"/>
      <c r="V330" s="49">
        <f t="shared" si="195"/>
        <v>-1458</v>
      </c>
      <c r="W330" s="143"/>
    </row>
    <row r="331" spans="1:23" ht="15.75" customHeight="1">
      <c r="A331" s="87"/>
      <c r="B331" s="77">
        <f ca="1">IFERROR(__xludf.DUMMYFUNCTION("DATE(VALUE(LEFT($B$2,4)),VALUE(MID($B$2,6,2)),VALUE(RIGHT($B$2,2)))
+ (VALUE(REGEXEXTRACT(INDIRECT(""A""&amp;ROW()+1),""\d+""))-1)*7
+ INT((COLUMN()-COLUMN($B331))/3)
"),46579)</f>
        <v>46579</v>
      </c>
      <c r="C331" s="81"/>
      <c r="D331" s="82"/>
      <c r="E331" s="77">
        <f ca="1">IFERROR(__xludf.DUMMYFUNCTION("DATE(VALUE(LEFT($B$2,4)),VALUE(MID($B$2,6,2)),VALUE(RIGHT($B$2,2)))
+ (VALUE(REGEXEXTRACT(INDIRECT(""A""&amp;ROW()+1),""\d+""))-1)*7
+ INT((COLUMN()-COLUMN($B331))/3)
"),46580)</f>
        <v>46580</v>
      </c>
      <c r="F331" s="81"/>
      <c r="G331" s="82"/>
      <c r="H331" s="77">
        <f ca="1">IFERROR(__xludf.DUMMYFUNCTION("DATE(VALUE(LEFT($B$2,4)),VALUE(MID($B$2,6,2)),VALUE(RIGHT($B$2,2)))
+ (VALUE(REGEXEXTRACT(INDIRECT(""A""&amp;ROW()+1),""\d+""))-1)*7
+ INT((COLUMN()-COLUMN($B331))/3)
"),46581)</f>
        <v>46581</v>
      </c>
      <c r="I331" s="81"/>
      <c r="J331" s="82"/>
      <c r="K331" s="77">
        <f ca="1">IFERROR(__xludf.DUMMYFUNCTION("DATE(VALUE(LEFT($B$2,4)),VALUE(MID($B$2,6,2)),VALUE(RIGHT($B$2,2)))
+ (VALUE(REGEXEXTRACT(INDIRECT(""A""&amp;ROW()+1),""\d+""))-1)*7
+ INT((COLUMN()-COLUMN($B331))/3)
"),46582)</f>
        <v>46582</v>
      </c>
      <c r="L331" s="81"/>
      <c r="M331" s="82"/>
      <c r="N331" s="77">
        <f ca="1">IFERROR(__xludf.DUMMYFUNCTION("DATE(VALUE(LEFT($B$2,4)),VALUE(MID($B$2,6,2)),VALUE(RIGHT($B$2,2)))
+ (VALUE(REGEXEXTRACT(INDIRECT(""A""&amp;ROW()+1),""\d+""))-1)*7
+ INT((COLUMN()-COLUMN($B331))/3)
"),46583)</f>
        <v>46583</v>
      </c>
      <c r="O331" s="81"/>
      <c r="P331" s="82"/>
      <c r="Q331" s="77">
        <f ca="1">IFERROR(__xludf.DUMMYFUNCTION("DATE(VALUE(LEFT($B$2,4)),VALUE(MID($B$2,6,2)),VALUE(RIGHT($B$2,2)))
+ (VALUE(REGEXEXTRACT(INDIRECT(""A""&amp;ROW()+1),""\d+""))-1)*7
+ INT((COLUMN()-COLUMN($B331))/3)
"),46584)</f>
        <v>46584</v>
      </c>
      <c r="R331" s="81"/>
      <c r="S331" s="82"/>
      <c r="T331" s="77">
        <f ca="1">IFERROR(__xludf.DUMMYFUNCTION("DATE(VALUE(LEFT($B$2,4)),VALUE(MID($B$2,6,2)),VALUE(RIGHT($B$2,2)))
+ (VALUE(REGEXEXTRACT(INDIRECT(""A""&amp;ROW()+1),""\d+""))-1)*7
+ INT((COLUMN()-COLUMN($B331))/3)
"),46585)</f>
        <v>46585</v>
      </c>
      <c r="U331" s="81"/>
      <c r="V331" s="82"/>
      <c r="W331" s="52" t="s">
        <v>20</v>
      </c>
    </row>
    <row r="332" spans="1:23" ht="15.75" customHeight="1">
      <c r="A332" s="47" t="s">
        <v>157</v>
      </c>
      <c r="B332" s="113"/>
      <c r="C332" s="109"/>
      <c r="D332" s="50">
        <f>V330+C332</f>
        <v>-1458</v>
      </c>
      <c r="E332" s="112"/>
      <c r="F332" s="111"/>
      <c r="G332" s="17">
        <f>D342+F332</f>
        <v>-1458</v>
      </c>
      <c r="H332" s="132"/>
      <c r="I332" s="109"/>
      <c r="J332" s="42">
        <f>G342+I332</f>
        <v>-1458</v>
      </c>
      <c r="K332" s="112"/>
      <c r="L332" s="111"/>
      <c r="M332" s="18">
        <f>J342+L332</f>
        <v>-1458</v>
      </c>
      <c r="N332" s="109"/>
      <c r="O332" s="109"/>
      <c r="P332" s="35">
        <f>M342+O332</f>
        <v>-1458</v>
      </c>
      <c r="Q332" s="112"/>
      <c r="R332" s="111"/>
      <c r="S332" s="17">
        <f>P342+R332</f>
        <v>-1458</v>
      </c>
      <c r="T332" s="176"/>
      <c r="U332" s="173"/>
      <c r="V332" s="50">
        <f>S342+U332</f>
        <v>-1458</v>
      </c>
      <c r="W332" s="172"/>
    </row>
    <row r="333" spans="1:23" ht="15.75" customHeight="1">
      <c r="A333" s="114"/>
      <c r="B333" s="118"/>
      <c r="C333" s="117"/>
      <c r="D333" s="45">
        <f t="shared" ref="D333:D342" si="196">D332+C333</f>
        <v>-1458</v>
      </c>
      <c r="E333" s="106"/>
      <c r="F333" s="107"/>
      <c r="G333" s="26">
        <f t="shared" ref="G333:G342" si="197">G332+F333</f>
        <v>-1458</v>
      </c>
      <c r="H333" s="133"/>
      <c r="I333" s="117"/>
      <c r="J333" s="19">
        <f t="shared" ref="J333:J342" si="198">J332+I333</f>
        <v>-1458</v>
      </c>
      <c r="K333" s="106"/>
      <c r="L333" s="107"/>
      <c r="M333" s="26">
        <f t="shared" ref="M333:M342" si="199">M332+L333</f>
        <v>-1458</v>
      </c>
      <c r="N333" s="117"/>
      <c r="O333" s="117"/>
      <c r="P333" s="38">
        <f t="shared" ref="P333:P342" si="200">P332+O333</f>
        <v>-1458</v>
      </c>
      <c r="Q333" s="106"/>
      <c r="R333" s="107"/>
      <c r="S333" s="26">
        <f t="shared" ref="S333:S342" si="201">S332+R333</f>
        <v>-1458</v>
      </c>
      <c r="T333" s="177"/>
      <c r="U333" s="136"/>
      <c r="V333" s="45">
        <f t="shared" ref="V333:V342" si="202">V332+U333</f>
        <v>-1458</v>
      </c>
      <c r="W333" s="143"/>
    </row>
    <row r="334" spans="1:23" ht="15.75" customHeight="1">
      <c r="A334" s="114"/>
      <c r="B334" s="118"/>
      <c r="C334" s="117"/>
      <c r="D334" s="45">
        <f t="shared" si="196"/>
        <v>-1458</v>
      </c>
      <c r="E334" s="106"/>
      <c r="F334" s="107"/>
      <c r="G334" s="26">
        <f t="shared" si="197"/>
        <v>-1458</v>
      </c>
      <c r="H334" s="133"/>
      <c r="I334" s="117"/>
      <c r="J334" s="19">
        <f t="shared" si="198"/>
        <v>-1458</v>
      </c>
      <c r="K334" s="106"/>
      <c r="L334" s="107"/>
      <c r="M334" s="26">
        <f t="shared" si="199"/>
        <v>-1458</v>
      </c>
      <c r="N334" s="117"/>
      <c r="O334" s="117"/>
      <c r="P334" s="38">
        <f t="shared" si="200"/>
        <v>-1458</v>
      </c>
      <c r="Q334" s="106"/>
      <c r="R334" s="107"/>
      <c r="S334" s="26">
        <f t="shared" si="201"/>
        <v>-1458</v>
      </c>
      <c r="T334" s="177"/>
      <c r="U334" s="136"/>
      <c r="V334" s="45">
        <f t="shared" si="202"/>
        <v>-1458</v>
      </c>
      <c r="W334" s="143"/>
    </row>
    <row r="335" spans="1:23" ht="15.75" customHeight="1">
      <c r="A335" s="114"/>
      <c r="B335" s="118"/>
      <c r="C335" s="117"/>
      <c r="D335" s="45">
        <f t="shared" si="196"/>
        <v>-1458</v>
      </c>
      <c r="E335" s="106"/>
      <c r="F335" s="107"/>
      <c r="G335" s="26">
        <f t="shared" si="197"/>
        <v>-1458</v>
      </c>
      <c r="H335" s="133"/>
      <c r="I335" s="117"/>
      <c r="J335" s="19">
        <f t="shared" si="198"/>
        <v>-1458</v>
      </c>
      <c r="K335" s="106"/>
      <c r="L335" s="107"/>
      <c r="M335" s="26">
        <f t="shared" si="199"/>
        <v>-1458</v>
      </c>
      <c r="N335" s="117"/>
      <c r="O335" s="117"/>
      <c r="P335" s="38">
        <f t="shared" si="200"/>
        <v>-1458</v>
      </c>
      <c r="Q335" s="106"/>
      <c r="R335" s="107"/>
      <c r="S335" s="26">
        <f t="shared" si="201"/>
        <v>-1458</v>
      </c>
      <c r="T335" s="177"/>
      <c r="U335" s="136"/>
      <c r="V335" s="45">
        <f t="shared" si="202"/>
        <v>-1458</v>
      </c>
      <c r="W335" s="143"/>
    </row>
    <row r="336" spans="1:23" ht="15.75" customHeight="1">
      <c r="A336" s="114"/>
      <c r="B336" s="118"/>
      <c r="C336" s="117"/>
      <c r="D336" s="45">
        <f t="shared" si="196"/>
        <v>-1458</v>
      </c>
      <c r="E336" s="106"/>
      <c r="F336" s="107"/>
      <c r="G336" s="26">
        <f t="shared" si="197"/>
        <v>-1458</v>
      </c>
      <c r="H336" s="133"/>
      <c r="I336" s="117"/>
      <c r="J336" s="19">
        <f t="shared" si="198"/>
        <v>-1458</v>
      </c>
      <c r="K336" s="106"/>
      <c r="L336" s="107"/>
      <c r="M336" s="26">
        <f t="shared" si="199"/>
        <v>-1458</v>
      </c>
      <c r="N336" s="117"/>
      <c r="O336" s="117"/>
      <c r="P336" s="38">
        <f t="shared" si="200"/>
        <v>-1458</v>
      </c>
      <c r="Q336" s="106"/>
      <c r="R336" s="107"/>
      <c r="S336" s="26">
        <f t="shared" si="201"/>
        <v>-1458</v>
      </c>
      <c r="T336" s="177"/>
      <c r="U336" s="136"/>
      <c r="V336" s="45">
        <f t="shared" si="202"/>
        <v>-1458</v>
      </c>
      <c r="W336" s="143"/>
    </row>
    <row r="337" spans="1:23" ht="15.75" customHeight="1">
      <c r="A337" s="114"/>
      <c r="B337" s="118"/>
      <c r="C337" s="117"/>
      <c r="D337" s="45">
        <f t="shared" si="196"/>
        <v>-1458</v>
      </c>
      <c r="E337" s="106"/>
      <c r="F337" s="107"/>
      <c r="G337" s="26">
        <f t="shared" si="197"/>
        <v>-1458</v>
      </c>
      <c r="H337" s="133"/>
      <c r="I337" s="117"/>
      <c r="J337" s="19">
        <f t="shared" si="198"/>
        <v>-1458</v>
      </c>
      <c r="K337" s="106"/>
      <c r="L337" s="107"/>
      <c r="M337" s="26">
        <f t="shared" si="199"/>
        <v>-1458</v>
      </c>
      <c r="N337" s="117"/>
      <c r="O337" s="117"/>
      <c r="P337" s="38">
        <f t="shared" si="200"/>
        <v>-1458</v>
      </c>
      <c r="Q337" s="106"/>
      <c r="R337" s="107"/>
      <c r="S337" s="26">
        <f t="shared" si="201"/>
        <v>-1458</v>
      </c>
      <c r="T337" s="177"/>
      <c r="U337" s="136"/>
      <c r="V337" s="45">
        <f t="shared" si="202"/>
        <v>-1458</v>
      </c>
      <c r="W337" s="143"/>
    </row>
    <row r="338" spans="1:23" ht="15.75" customHeight="1">
      <c r="A338" s="114"/>
      <c r="B338" s="117"/>
      <c r="C338" s="117"/>
      <c r="D338" s="45">
        <f t="shared" si="196"/>
        <v>-1458</v>
      </c>
      <c r="E338" s="106"/>
      <c r="F338" s="107"/>
      <c r="G338" s="26">
        <f t="shared" si="197"/>
        <v>-1458</v>
      </c>
      <c r="H338" s="133"/>
      <c r="I338" s="117"/>
      <c r="J338" s="19">
        <f t="shared" si="198"/>
        <v>-1458</v>
      </c>
      <c r="K338" s="106"/>
      <c r="L338" s="107"/>
      <c r="M338" s="26">
        <f t="shared" si="199"/>
        <v>-1458</v>
      </c>
      <c r="N338" s="117"/>
      <c r="O338" s="117"/>
      <c r="P338" s="38">
        <f t="shared" si="200"/>
        <v>-1458</v>
      </c>
      <c r="Q338" s="106"/>
      <c r="R338" s="107"/>
      <c r="S338" s="26">
        <f t="shared" si="201"/>
        <v>-1458</v>
      </c>
      <c r="T338" s="177"/>
      <c r="U338" s="136"/>
      <c r="V338" s="45">
        <f t="shared" si="202"/>
        <v>-1458</v>
      </c>
      <c r="W338" s="143"/>
    </row>
    <row r="339" spans="1:23" ht="15.75" customHeight="1">
      <c r="A339" s="114"/>
      <c r="B339" s="117"/>
      <c r="C339" s="117"/>
      <c r="D339" s="45">
        <f t="shared" si="196"/>
        <v>-1458</v>
      </c>
      <c r="E339" s="106"/>
      <c r="F339" s="107"/>
      <c r="G339" s="26">
        <f t="shared" si="197"/>
        <v>-1458</v>
      </c>
      <c r="H339" s="133"/>
      <c r="I339" s="117"/>
      <c r="J339" s="19">
        <f t="shared" si="198"/>
        <v>-1458</v>
      </c>
      <c r="K339" s="106"/>
      <c r="L339" s="107"/>
      <c r="M339" s="26">
        <f t="shared" si="199"/>
        <v>-1458</v>
      </c>
      <c r="N339" s="117"/>
      <c r="O339" s="117"/>
      <c r="P339" s="38">
        <f t="shared" si="200"/>
        <v>-1458</v>
      </c>
      <c r="Q339" s="106"/>
      <c r="R339" s="107"/>
      <c r="S339" s="26">
        <f t="shared" si="201"/>
        <v>-1458</v>
      </c>
      <c r="T339" s="177"/>
      <c r="U339" s="136"/>
      <c r="V339" s="45">
        <f t="shared" si="202"/>
        <v>-1458</v>
      </c>
      <c r="W339" s="143"/>
    </row>
    <row r="340" spans="1:23" ht="15.75" customHeight="1">
      <c r="A340" s="114"/>
      <c r="B340" s="117"/>
      <c r="C340" s="117"/>
      <c r="D340" s="45">
        <f t="shared" si="196"/>
        <v>-1458</v>
      </c>
      <c r="E340" s="106"/>
      <c r="F340" s="107"/>
      <c r="G340" s="26">
        <f t="shared" si="197"/>
        <v>-1458</v>
      </c>
      <c r="H340" s="133"/>
      <c r="I340" s="117"/>
      <c r="J340" s="19">
        <f t="shared" si="198"/>
        <v>-1458</v>
      </c>
      <c r="K340" s="106"/>
      <c r="L340" s="107"/>
      <c r="M340" s="26">
        <f t="shared" si="199"/>
        <v>-1458</v>
      </c>
      <c r="N340" s="117"/>
      <c r="O340" s="117"/>
      <c r="P340" s="38">
        <f t="shared" si="200"/>
        <v>-1458</v>
      </c>
      <c r="Q340" s="106"/>
      <c r="R340" s="107"/>
      <c r="S340" s="26">
        <f t="shared" si="201"/>
        <v>-1458</v>
      </c>
      <c r="T340" s="177"/>
      <c r="U340" s="136"/>
      <c r="V340" s="45">
        <f t="shared" si="202"/>
        <v>-1458</v>
      </c>
      <c r="W340" s="143"/>
    </row>
    <row r="341" spans="1:23" ht="15.75" customHeight="1">
      <c r="A341" s="114"/>
      <c r="B341" s="117"/>
      <c r="C341" s="117"/>
      <c r="D341" s="45">
        <f t="shared" si="196"/>
        <v>-1458</v>
      </c>
      <c r="E341" s="122"/>
      <c r="F341" s="123"/>
      <c r="G341" s="26">
        <f t="shared" si="197"/>
        <v>-1458</v>
      </c>
      <c r="H341" s="133"/>
      <c r="I341" s="117"/>
      <c r="J341" s="19">
        <f t="shared" si="198"/>
        <v>-1458</v>
      </c>
      <c r="K341" s="122"/>
      <c r="L341" s="123"/>
      <c r="M341" s="26">
        <f t="shared" si="199"/>
        <v>-1458</v>
      </c>
      <c r="N341" s="117"/>
      <c r="O341" s="117"/>
      <c r="P341" s="38">
        <f t="shared" si="200"/>
        <v>-1458</v>
      </c>
      <c r="Q341" s="122"/>
      <c r="R341" s="123"/>
      <c r="S341" s="26">
        <f t="shared" si="201"/>
        <v>-1458</v>
      </c>
      <c r="T341" s="177"/>
      <c r="U341" s="136"/>
      <c r="V341" s="45">
        <f t="shared" si="202"/>
        <v>-1458</v>
      </c>
      <c r="W341" s="143"/>
    </row>
    <row r="342" spans="1:23" ht="15.75" customHeight="1">
      <c r="A342" s="114"/>
      <c r="B342" s="128"/>
      <c r="C342" s="128"/>
      <c r="D342" s="46">
        <f t="shared" si="196"/>
        <v>-1458</v>
      </c>
      <c r="E342" s="122"/>
      <c r="F342" s="123"/>
      <c r="G342" s="39">
        <f t="shared" si="197"/>
        <v>-1458</v>
      </c>
      <c r="H342" s="140"/>
      <c r="I342" s="128"/>
      <c r="J342" s="29">
        <f t="shared" si="198"/>
        <v>-1458</v>
      </c>
      <c r="K342" s="122"/>
      <c r="L342" s="123"/>
      <c r="M342" s="39">
        <f t="shared" si="199"/>
        <v>-1458</v>
      </c>
      <c r="N342" s="128"/>
      <c r="O342" s="128"/>
      <c r="P342" s="40">
        <f t="shared" si="200"/>
        <v>-1458</v>
      </c>
      <c r="Q342" s="122"/>
      <c r="R342" s="123"/>
      <c r="S342" s="39">
        <f t="shared" si="201"/>
        <v>-1458</v>
      </c>
      <c r="T342" s="178"/>
      <c r="U342" s="141"/>
      <c r="V342" s="46">
        <f t="shared" si="202"/>
        <v>-1458</v>
      </c>
      <c r="W342" s="143"/>
    </row>
    <row r="343" spans="1:23" ht="15.75" customHeight="1">
      <c r="A343" s="87"/>
      <c r="B343" s="77">
        <f ca="1">IFERROR(__xludf.DUMMYFUNCTION("DATE(VALUE(LEFT($B$2,4)),VALUE(MID($B$2,6,2)),VALUE(RIGHT($B$2,2)))
+ (VALUE(REGEXEXTRACT(INDIRECT(""A""&amp;ROW()+1),""\d+""))-1)*7
+ INT((COLUMN()-COLUMN($B343))/3)
"),46586)</f>
        <v>46586</v>
      </c>
      <c r="C343" s="81"/>
      <c r="D343" s="82"/>
      <c r="E343" s="77">
        <f ca="1">IFERROR(__xludf.DUMMYFUNCTION("DATE(VALUE(LEFT($B$2,4)),VALUE(MID($B$2,6,2)),VALUE(RIGHT($B$2,2)))
+ (VALUE(REGEXEXTRACT(INDIRECT(""A""&amp;ROW()+1),""\d+""))-1)*7
+ INT((COLUMN()-COLUMN($B343))/3)
"),46587)</f>
        <v>46587</v>
      </c>
      <c r="F343" s="81"/>
      <c r="G343" s="82"/>
      <c r="H343" s="77">
        <f ca="1">IFERROR(__xludf.DUMMYFUNCTION("DATE(VALUE(LEFT($B$2,4)),VALUE(MID($B$2,6,2)),VALUE(RIGHT($B$2,2)))
+ (VALUE(REGEXEXTRACT(INDIRECT(""A""&amp;ROW()+1),""\d+""))-1)*7
+ INT((COLUMN()-COLUMN($B343))/3)
"),46588)</f>
        <v>46588</v>
      </c>
      <c r="I343" s="81"/>
      <c r="J343" s="82"/>
      <c r="K343" s="77">
        <f ca="1">IFERROR(__xludf.DUMMYFUNCTION("DATE(VALUE(LEFT($B$2,4)),VALUE(MID($B$2,6,2)),VALUE(RIGHT($B$2,2)))
+ (VALUE(REGEXEXTRACT(INDIRECT(""A""&amp;ROW()+1),""\d+""))-1)*7
+ INT((COLUMN()-COLUMN($B343))/3)
"),46589)</f>
        <v>46589</v>
      </c>
      <c r="L343" s="81"/>
      <c r="M343" s="82"/>
      <c r="N343" s="77">
        <f ca="1">IFERROR(__xludf.DUMMYFUNCTION("DATE(VALUE(LEFT($B$2,4)),VALUE(MID($B$2,6,2)),VALUE(RIGHT($B$2,2)))
+ (VALUE(REGEXEXTRACT(INDIRECT(""A""&amp;ROW()+1),""\d+""))-1)*7
+ INT((COLUMN()-COLUMN($B343))/3)
"),46590)</f>
        <v>46590</v>
      </c>
      <c r="O343" s="81"/>
      <c r="P343" s="82"/>
      <c r="Q343" s="77">
        <f ca="1">IFERROR(__xludf.DUMMYFUNCTION("DATE(VALUE(LEFT($B$2,4)),VALUE(MID($B$2,6,2)),VALUE(RIGHT($B$2,2)))
+ (VALUE(REGEXEXTRACT(INDIRECT(""A""&amp;ROW()+1),""\d+""))-1)*7
+ INT((COLUMN()-COLUMN($B343))/3)
"),46591)</f>
        <v>46591</v>
      </c>
      <c r="R343" s="81"/>
      <c r="S343" s="82"/>
      <c r="T343" s="77">
        <f ca="1">IFERROR(__xludf.DUMMYFUNCTION("DATE(VALUE(LEFT($B$2,4)),VALUE(MID($B$2,6,2)),VALUE(RIGHT($B$2,2)))
+ (VALUE(REGEXEXTRACT(INDIRECT(""A""&amp;ROW()+1),""\d+""))-1)*7
+ INT((COLUMN()-COLUMN($B343))/3)
"),46592)</f>
        <v>46592</v>
      </c>
      <c r="U343" s="81"/>
      <c r="V343" s="82"/>
      <c r="W343" s="143"/>
    </row>
    <row r="344" spans="1:23" ht="15.75" customHeight="1">
      <c r="A344" s="51" t="s">
        <v>158</v>
      </c>
      <c r="B344" s="112"/>
      <c r="C344" s="111"/>
      <c r="D344" s="48">
        <f>V342+C344</f>
        <v>-1458</v>
      </c>
      <c r="E344" s="113"/>
      <c r="F344" s="109"/>
      <c r="G344" s="42">
        <f>D354+F344</f>
        <v>-1458</v>
      </c>
      <c r="H344" s="110"/>
      <c r="I344" s="111"/>
      <c r="J344" s="17">
        <f>G354+I344</f>
        <v>-1458</v>
      </c>
      <c r="K344" s="109"/>
      <c r="L344" s="109"/>
      <c r="M344" s="35">
        <f>J354+L344</f>
        <v>-1458</v>
      </c>
      <c r="N344" s="112"/>
      <c r="O344" s="111"/>
      <c r="P344" s="17">
        <f>M354+O344</f>
        <v>-1458</v>
      </c>
      <c r="Q344" s="109"/>
      <c r="R344" s="109"/>
      <c r="S344" s="42">
        <f>P354+R344</f>
        <v>-1458</v>
      </c>
      <c r="T344" s="110"/>
      <c r="U344" s="111"/>
      <c r="V344" s="48">
        <f>S354+U344</f>
        <v>-1458</v>
      </c>
      <c r="W344" s="143"/>
    </row>
    <row r="345" spans="1:23" ht="15.75" customHeight="1">
      <c r="A345" s="114"/>
      <c r="B345" s="106"/>
      <c r="C345" s="107"/>
      <c r="D345" s="20">
        <f t="shared" ref="D345:D354" si="203">D344+C345</f>
        <v>-1458</v>
      </c>
      <c r="E345" s="118"/>
      <c r="F345" s="117"/>
      <c r="G345" s="19">
        <f t="shared" ref="G345:G354" si="204">G344+F345</f>
        <v>-1458</v>
      </c>
      <c r="H345" s="116"/>
      <c r="I345" s="107"/>
      <c r="J345" s="26">
        <f t="shared" ref="J345:J354" si="205">J344+I345</f>
        <v>-1458</v>
      </c>
      <c r="K345" s="117"/>
      <c r="L345" s="117"/>
      <c r="M345" s="38">
        <f t="shared" ref="M345:M354" si="206">M344+L345</f>
        <v>-1458</v>
      </c>
      <c r="N345" s="106"/>
      <c r="O345" s="107"/>
      <c r="P345" s="26">
        <f t="shared" ref="P345:P354" si="207">P344+O345</f>
        <v>-1458</v>
      </c>
      <c r="Q345" s="117"/>
      <c r="R345" s="117"/>
      <c r="S345" s="19">
        <f t="shared" ref="S345:S354" si="208">S344+R345</f>
        <v>-1458</v>
      </c>
      <c r="T345" s="116"/>
      <c r="U345" s="107"/>
      <c r="V345" s="20">
        <f t="shared" ref="V345:V354" si="209">V344+U345</f>
        <v>-1458</v>
      </c>
      <c r="W345" s="143"/>
    </row>
    <row r="346" spans="1:23" ht="15.75" customHeight="1">
      <c r="A346" s="114"/>
      <c r="B346" s="106"/>
      <c r="C346" s="107"/>
      <c r="D346" s="20">
        <f t="shared" si="203"/>
        <v>-1458</v>
      </c>
      <c r="E346" s="118"/>
      <c r="F346" s="117"/>
      <c r="G346" s="19">
        <f t="shared" si="204"/>
        <v>-1458</v>
      </c>
      <c r="H346" s="116"/>
      <c r="I346" s="107"/>
      <c r="J346" s="26">
        <f t="shared" si="205"/>
        <v>-1458</v>
      </c>
      <c r="K346" s="117"/>
      <c r="L346" s="117"/>
      <c r="M346" s="38">
        <f t="shared" si="206"/>
        <v>-1458</v>
      </c>
      <c r="N346" s="106"/>
      <c r="O346" s="107"/>
      <c r="P346" s="26">
        <f t="shared" si="207"/>
        <v>-1458</v>
      </c>
      <c r="Q346" s="117"/>
      <c r="R346" s="117"/>
      <c r="S346" s="19">
        <f t="shared" si="208"/>
        <v>-1458</v>
      </c>
      <c r="T346" s="116"/>
      <c r="U346" s="116"/>
      <c r="V346" s="20">
        <f t="shared" si="209"/>
        <v>-1458</v>
      </c>
      <c r="W346" s="143"/>
    </row>
    <row r="347" spans="1:23" ht="15.75" customHeight="1">
      <c r="A347" s="114"/>
      <c r="B347" s="106"/>
      <c r="C347" s="107"/>
      <c r="D347" s="20">
        <f t="shared" si="203"/>
        <v>-1458</v>
      </c>
      <c r="E347" s="118"/>
      <c r="F347" s="117"/>
      <c r="G347" s="19">
        <f t="shared" si="204"/>
        <v>-1458</v>
      </c>
      <c r="H347" s="116"/>
      <c r="I347" s="107"/>
      <c r="J347" s="26">
        <f t="shared" si="205"/>
        <v>-1458</v>
      </c>
      <c r="K347" s="117"/>
      <c r="L347" s="117"/>
      <c r="M347" s="38">
        <f t="shared" si="206"/>
        <v>-1458</v>
      </c>
      <c r="N347" s="106"/>
      <c r="O347" s="107"/>
      <c r="P347" s="26">
        <f t="shared" si="207"/>
        <v>-1458</v>
      </c>
      <c r="Q347" s="117"/>
      <c r="R347" s="117"/>
      <c r="S347" s="19">
        <f t="shared" si="208"/>
        <v>-1458</v>
      </c>
      <c r="T347" s="116"/>
      <c r="U347" s="116"/>
      <c r="V347" s="20">
        <f t="shared" si="209"/>
        <v>-1458</v>
      </c>
      <c r="W347" s="143"/>
    </row>
    <row r="348" spans="1:23" ht="15.75" customHeight="1">
      <c r="A348" s="114"/>
      <c r="B348" s="106"/>
      <c r="C348" s="107"/>
      <c r="D348" s="20">
        <f t="shared" si="203"/>
        <v>-1458</v>
      </c>
      <c r="E348" s="118"/>
      <c r="F348" s="117"/>
      <c r="G348" s="19">
        <f t="shared" si="204"/>
        <v>-1458</v>
      </c>
      <c r="H348" s="116"/>
      <c r="I348" s="107"/>
      <c r="J348" s="26">
        <f t="shared" si="205"/>
        <v>-1458</v>
      </c>
      <c r="K348" s="117"/>
      <c r="L348" s="117"/>
      <c r="M348" s="38">
        <f t="shared" si="206"/>
        <v>-1458</v>
      </c>
      <c r="N348" s="106"/>
      <c r="O348" s="107"/>
      <c r="P348" s="26">
        <f t="shared" si="207"/>
        <v>-1458</v>
      </c>
      <c r="Q348" s="117"/>
      <c r="R348" s="117"/>
      <c r="S348" s="19">
        <f t="shared" si="208"/>
        <v>-1458</v>
      </c>
      <c r="T348" s="116"/>
      <c r="U348" s="116"/>
      <c r="V348" s="20">
        <f t="shared" si="209"/>
        <v>-1458</v>
      </c>
      <c r="W348" s="143"/>
    </row>
    <row r="349" spans="1:23" ht="15.75" customHeight="1">
      <c r="A349" s="114"/>
      <c r="B349" s="106"/>
      <c r="C349" s="107"/>
      <c r="D349" s="20">
        <f t="shared" si="203"/>
        <v>-1458</v>
      </c>
      <c r="E349" s="118"/>
      <c r="F349" s="117"/>
      <c r="G349" s="19">
        <f t="shared" si="204"/>
        <v>-1458</v>
      </c>
      <c r="H349" s="116"/>
      <c r="I349" s="107"/>
      <c r="J349" s="26">
        <f t="shared" si="205"/>
        <v>-1458</v>
      </c>
      <c r="K349" s="117"/>
      <c r="L349" s="117"/>
      <c r="M349" s="38">
        <f t="shared" si="206"/>
        <v>-1458</v>
      </c>
      <c r="N349" s="106"/>
      <c r="O349" s="107"/>
      <c r="P349" s="26">
        <f t="shared" si="207"/>
        <v>-1458</v>
      </c>
      <c r="Q349" s="117"/>
      <c r="R349" s="117"/>
      <c r="S349" s="19">
        <f t="shared" si="208"/>
        <v>-1458</v>
      </c>
      <c r="T349" s="116"/>
      <c r="U349" s="116"/>
      <c r="V349" s="20">
        <f t="shared" si="209"/>
        <v>-1458</v>
      </c>
      <c r="W349" s="143"/>
    </row>
    <row r="350" spans="1:23" ht="15.75" customHeight="1">
      <c r="A350" s="114"/>
      <c r="B350" s="106"/>
      <c r="C350" s="107"/>
      <c r="D350" s="20">
        <f t="shared" si="203"/>
        <v>-1458</v>
      </c>
      <c r="E350" s="118"/>
      <c r="F350" s="117"/>
      <c r="G350" s="19">
        <f t="shared" si="204"/>
        <v>-1458</v>
      </c>
      <c r="H350" s="116"/>
      <c r="I350" s="107"/>
      <c r="J350" s="26">
        <f t="shared" si="205"/>
        <v>-1458</v>
      </c>
      <c r="K350" s="117"/>
      <c r="L350" s="117"/>
      <c r="M350" s="38">
        <f t="shared" si="206"/>
        <v>-1458</v>
      </c>
      <c r="N350" s="106"/>
      <c r="O350" s="107"/>
      <c r="P350" s="26">
        <f t="shared" si="207"/>
        <v>-1458</v>
      </c>
      <c r="Q350" s="117"/>
      <c r="R350" s="117"/>
      <c r="S350" s="19">
        <f t="shared" si="208"/>
        <v>-1458</v>
      </c>
      <c r="T350" s="116"/>
      <c r="U350" s="116"/>
      <c r="V350" s="20">
        <f t="shared" si="209"/>
        <v>-1458</v>
      </c>
      <c r="W350" s="143"/>
    </row>
    <row r="351" spans="1:23" ht="15.75" customHeight="1">
      <c r="A351" s="114"/>
      <c r="B351" s="106"/>
      <c r="C351" s="107"/>
      <c r="D351" s="20">
        <f t="shared" si="203"/>
        <v>-1458</v>
      </c>
      <c r="E351" s="118"/>
      <c r="F351" s="117"/>
      <c r="G351" s="19">
        <f t="shared" si="204"/>
        <v>-1458</v>
      </c>
      <c r="H351" s="116"/>
      <c r="I351" s="107"/>
      <c r="J351" s="26">
        <f t="shared" si="205"/>
        <v>-1458</v>
      </c>
      <c r="K351" s="117"/>
      <c r="L351" s="117"/>
      <c r="M351" s="38">
        <f t="shared" si="206"/>
        <v>-1458</v>
      </c>
      <c r="N351" s="106"/>
      <c r="O351" s="107"/>
      <c r="P351" s="26">
        <f t="shared" si="207"/>
        <v>-1458</v>
      </c>
      <c r="Q351" s="117"/>
      <c r="R351" s="117"/>
      <c r="S351" s="19">
        <f t="shared" si="208"/>
        <v>-1458</v>
      </c>
      <c r="T351" s="116"/>
      <c r="U351" s="116"/>
      <c r="V351" s="20">
        <f t="shared" si="209"/>
        <v>-1458</v>
      </c>
      <c r="W351" s="143"/>
    </row>
    <row r="352" spans="1:23" ht="15.75" customHeight="1">
      <c r="A352" s="114"/>
      <c r="B352" s="122"/>
      <c r="C352" s="123"/>
      <c r="D352" s="20">
        <f t="shared" si="203"/>
        <v>-1458</v>
      </c>
      <c r="E352" s="118"/>
      <c r="F352" s="117"/>
      <c r="G352" s="19">
        <f t="shared" si="204"/>
        <v>-1458</v>
      </c>
      <c r="H352" s="124"/>
      <c r="I352" s="123"/>
      <c r="J352" s="26">
        <f t="shared" si="205"/>
        <v>-1458</v>
      </c>
      <c r="K352" s="117"/>
      <c r="L352" s="117"/>
      <c r="M352" s="38">
        <f t="shared" si="206"/>
        <v>-1458</v>
      </c>
      <c r="N352" s="122"/>
      <c r="O352" s="123"/>
      <c r="P352" s="26">
        <f t="shared" si="207"/>
        <v>-1458</v>
      </c>
      <c r="Q352" s="117"/>
      <c r="R352" s="117"/>
      <c r="S352" s="19">
        <f t="shared" si="208"/>
        <v>-1458</v>
      </c>
      <c r="T352" s="116"/>
      <c r="U352" s="116"/>
      <c r="V352" s="20">
        <f t="shared" si="209"/>
        <v>-1458</v>
      </c>
      <c r="W352" s="143"/>
    </row>
    <row r="353" spans="1:23" ht="15.75" customHeight="1">
      <c r="A353" s="114"/>
      <c r="B353" s="122"/>
      <c r="C353" s="123"/>
      <c r="D353" s="20">
        <f t="shared" si="203"/>
        <v>-1458</v>
      </c>
      <c r="E353" s="118"/>
      <c r="F353" s="117"/>
      <c r="G353" s="19">
        <f t="shared" si="204"/>
        <v>-1458</v>
      </c>
      <c r="H353" s="124"/>
      <c r="I353" s="123"/>
      <c r="J353" s="26">
        <f t="shared" si="205"/>
        <v>-1458</v>
      </c>
      <c r="K353" s="117"/>
      <c r="L353" s="117"/>
      <c r="M353" s="38">
        <f t="shared" si="206"/>
        <v>-1458</v>
      </c>
      <c r="N353" s="122"/>
      <c r="O353" s="123"/>
      <c r="P353" s="26">
        <f t="shared" si="207"/>
        <v>-1458</v>
      </c>
      <c r="Q353" s="117"/>
      <c r="R353" s="117"/>
      <c r="S353" s="19">
        <f t="shared" si="208"/>
        <v>-1458</v>
      </c>
      <c r="T353" s="124"/>
      <c r="U353" s="124"/>
      <c r="V353" s="20">
        <f t="shared" si="209"/>
        <v>-1458</v>
      </c>
      <c r="W353" s="143"/>
    </row>
    <row r="354" spans="1:23" ht="15.75" customHeight="1">
      <c r="A354" s="114"/>
      <c r="B354" s="122"/>
      <c r="C354" s="123"/>
      <c r="D354" s="49">
        <f t="shared" si="203"/>
        <v>-1458</v>
      </c>
      <c r="E354" s="154"/>
      <c r="F354" s="128"/>
      <c r="G354" s="29">
        <f t="shared" si="204"/>
        <v>-1458</v>
      </c>
      <c r="H354" s="124"/>
      <c r="I354" s="123"/>
      <c r="J354" s="39">
        <f t="shared" si="205"/>
        <v>-1458</v>
      </c>
      <c r="K354" s="128"/>
      <c r="L354" s="128"/>
      <c r="M354" s="40">
        <f t="shared" si="206"/>
        <v>-1458</v>
      </c>
      <c r="N354" s="122"/>
      <c r="O354" s="123"/>
      <c r="P354" s="39">
        <f t="shared" si="207"/>
        <v>-1458</v>
      </c>
      <c r="Q354" s="128"/>
      <c r="R354" s="128"/>
      <c r="S354" s="29">
        <f t="shared" si="208"/>
        <v>-1458</v>
      </c>
      <c r="T354" s="124"/>
      <c r="U354" s="123"/>
      <c r="V354" s="49">
        <f t="shared" si="209"/>
        <v>-1458</v>
      </c>
      <c r="W354" s="143"/>
    </row>
    <row r="355" spans="1:23" ht="15.75" customHeight="1">
      <c r="A355" s="87"/>
      <c r="B355" s="77">
        <f ca="1">IFERROR(__xludf.DUMMYFUNCTION("DATE(VALUE(LEFT($B$2,4)),VALUE(MID($B$2,6,2)),VALUE(RIGHT($B$2,2)))
+ (VALUE(REGEXEXTRACT(INDIRECT(""A""&amp;ROW()+1),""\d+""))-1)*7
+ INT((COLUMN()-COLUMN($B355))/3)
"),46593)</f>
        <v>46593</v>
      </c>
      <c r="C355" s="81"/>
      <c r="D355" s="82"/>
      <c r="E355" s="77">
        <f ca="1">IFERROR(__xludf.DUMMYFUNCTION("DATE(VALUE(LEFT($B$2,4)),VALUE(MID($B$2,6,2)),VALUE(RIGHT($B$2,2)))
+ (VALUE(REGEXEXTRACT(INDIRECT(""A""&amp;ROW()+1),""\d+""))-1)*7
+ INT((COLUMN()-COLUMN($B355))/3)
"),46594)</f>
        <v>46594</v>
      </c>
      <c r="F355" s="81"/>
      <c r="G355" s="82"/>
      <c r="H355" s="77">
        <f ca="1">IFERROR(__xludf.DUMMYFUNCTION("DATE(VALUE(LEFT($B$2,4)),VALUE(MID($B$2,6,2)),VALUE(RIGHT($B$2,2)))
+ (VALUE(REGEXEXTRACT(INDIRECT(""A""&amp;ROW()+1),""\d+""))-1)*7
+ INT((COLUMN()-COLUMN($B355))/3)
"),46595)</f>
        <v>46595</v>
      </c>
      <c r="I355" s="81"/>
      <c r="J355" s="82"/>
      <c r="K355" s="77">
        <f ca="1">IFERROR(__xludf.DUMMYFUNCTION("DATE(VALUE(LEFT($B$2,4)),VALUE(MID($B$2,6,2)),VALUE(RIGHT($B$2,2)))
+ (VALUE(REGEXEXTRACT(INDIRECT(""A""&amp;ROW()+1),""\d+""))-1)*7
+ INT((COLUMN()-COLUMN($B355))/3)
"),46596)</f>
        <v>46596</v>
      </c>
      <c r="L355" s="81"/>
      <c r="M355" s="82"/>
      <c r="N355" s="77">
        <f ca="1">IFERROR(__xludf.DUMMYFUNCTION("DATE(VALUE(LEFT($B$2,4)),VALUE(MID($B$2,6,2)),VALUE(RIGHT($B$2,2)))
+ (VALUE(REGEXEXTRACT(INDIRECT(""A""&amp;ROW()+1),""\d+""))-1)*7
+ INT((COLUMN()-COLUMN($B355))/3)
"),46597)</f>
        <v>46597</v>
      </c>
      <c r="O355" s="81"/>
      <c r="P355" s="82"/>
      <c r="Q355" s="77">
        <f ca="1">IFERROR(__xludf.DUMMYFUNCTION("DATE(VALUE(LEFT($B$2,4)),VALUE(MID($B$2,6,2)),VALUE(RIGHT($B$2,2)))
+ (VALUE(REGEXEXTRACT(INDIRECT(""A""&amp;ROW()+1),""\d+""))-1)*7
+ INT((COLUMN()-COLUMN($B355))/3)
"),46598)</f>
        <v>46598</v>
      </c>
      <c r="R355" s="81"/>
      <c r="S355" s="82"/>
      <c r="T355" s="77">
        <f ca="1">IFERROR(__xludf.DUMMYFUNCTION("DATE(VALUE(LEFT($B$2,4)),VALUE(MID($B$2,6,2)),VALUE(RIGHT($B$2,2)))
+ (VALUE(REGEXEXTRACT(INDIRECT(""A""&amp;ROW()+1),""\d+""))-1)*7
+ INT((COLUMN()-COLUMN($B355))/3)
"),46599)</f>
        <v>46599</v>
      </c>
      <c r="U355" s="81"/>
      <c r="V355" s="82"/>
      <c r="W355" s="52" t="s">
        <v>20</v>
      </c>
    </row>
    <row r="356" spans="1:23" ht="15.75" customHeight="1">
      <c r="A356" s="47" t="s">
        <v>159</v>
      </c>
      <c r="B356" s="113"/>
      <c r="C356" s="109"/>
      <c r="D356" s="50">
        <f>V354+C356</f>
        <v>-1458</v>
      </c>
      <c r="E356" s="112"/>
      <c r="F356" s="111"/>
      <c r="G356" s="17">
        <f>D366+F356</f>
        <v>-1458</v>
      </c>
      <c r="H356" s="132"/>
      <c r="I356" s="109"/>
      <c r="J356" s="42">
        <f>G366+I356</f>
        <v>-1458</v>
      </c>
      <c r="K356" s="112"/>
      <c r="L356" s="111"/>
      <c r="M356" s="18">
        <f>J366+L356</f>
        <v>-1458</v>
      </c>
      <c r="N356" s="113"/>
      <c r="O356" s="109"/>
      <c r="P356" s="35">
        <f>M366+O356</f>
        <v>-1458</v>
      </c>
      <c r="Q356" s="112"/>
      <c r="R356" s="111"/>
      <c r="S356" s="17">
        <f>P366+R356</f>
        <v>-1458</v>
      </c>
      <c r="T356" s="176"/>
      <c r="U356" s="173"/>
      <c r="V356" s="50">
        <f>S366+U356</f>
        <v>-1458</v>
      </c>
      <c r="W356" s="172"/>
    </row>
    <row r="357" spans="1:23" ht="15.75" customHeight="1">
      <c r="A357" s="114"/>
      <c r="B357" s="118"/>
      <c r="C357" s="117"/>
      <c r="D357" s="45">
        <f t="shared" ref="D357:D366" si="210">D356+C357</f>
        <v>-1458</v>
      </c>
      <c r="E357" s="106"/>
      <c r="F357" s="107"/>
      <c r="G357" s="26">
        <f t="shared" ref="G357:G366" si="211">G356+F357</f>
        <v>-1458</v>
      </c>
      <c r="H357" s="117"/>
      <c r="I357" s="117"/>
      <c r="J357" s="19">
        <f t="shared" ref="J357:J366" si="212">J356+I357</f>
        <v>-1458</v>
      </c>
      <c r="K357" s="106"/>
      <c r="L357" s="107"/>
      <c r="M357" s="26">
        <f t="shared" ref="M357:M366" si="213">M356+L357</f>
        <v>-1458</v>
      </c>
      <c r="N357" s="118"/>
      <c r="O357" s="117"/>
      <c r="P357" s="38">
        <f t="shared" ref="P357:P366" si="214">P356+O357</f>
        <v>-1458</v>
      </c>
      <c r="Q357" s="106"/>
      <c r="R357" s="107"/>
      <c r="S357" s="26">
        <f t="shared" ref="S357:S366" si="215">S356+R357</f>
        <v>-1458</v>
      </c>
      <c r="T357" s="177"/>
      <c r="U357" s="136"/>
      <c r="V357" s="45">
        <f t="shared" ref="V357:V366" si="216">V356+U357</f>
        <v>-1458</v>
      </c>
      <c r="W357" s="143"/>
    </row>
    <row r="358" spans="1:23" ht="15.75" customHeight="1">
      <c r="A358" s="114"/>
      <c r="B358" s="118"/>
      <c r="C358" s="117"/>
      <c r="D358" s="45">
        <f t="shared" si="210"/>
        <v>-1458</v>
      </c>
      <c r="E358" s="106"/>
      <c r="F358" s="107"/>
      <c r="G358" s="26">
        <f t="shared" si="211"/>
        <v>-1458</v>
      </c>
      <c r="H358" s="117"/>
      <c r="I358" s="117"/>
      <c r="J358" s="19">
        <f t="shared" si="212"/>
        <v>-1458</v>
      </c>
      <c r="K358" s="106"/>
      <c r="L358" s="107"/>
      <c r="M358" s="26">
        <f t="shared" si="213"/>
        <v>-1458</v>
      </c>
      <c r="N358" s="117"/>
      <c r="O358" s="117"/>
      <c r="P358" s="38">
        <f t="shared" si="214"/>
        <v>-1458</v>
      </c>
      <c r="Q358" s="106"/>
      <c r="R358" s="107"/>
      <c r="S358" s="26">
        <f t="shared" si="215"/>
        <v>-1458</v>
      </c>
      <c r="T358" s="177"/>
      <c r="U358" s="136"/>
      <c r="V358" s="45">
        <f t="shared" si="216"/>
        <v>-1458</v>
      </c>
      <c r="W358" s="143"/>
    </row>
    <row r="359" spans="1:23" ht="15.75" customHeight="1">
      <c r="A359" s="114"/>
      <c r="B359" s="118"/>
      <c r="C359" s="117"/>
      <c r="D359" s="45">
        <f t="shared" si="210"/>
        <v>-1458</v>
      </c>
      <c r="E359" s="106"/>
      <c r="F359" s="107"/>
      <c r="G359" s="26">
        <f t="shared" si="211"/>
        <v>-1458</v>
      </c>
      <c r="H359" s="117"/>
      <c r="I359" s="117"/>
      <c r="J359" s="19">
        <f t="shared" si="212"/>
        <v>-1458</v>
      </c>
      <c r="K359" s="106"/>
      <c r="L359" s="107"/>
      <c r="M359" s="26">
        <f t="shared" si="213"/>
        <v>-1458</v>
      </c>
      <c r="N359" s="117"/>
      <c r="O359" s="117"/>
      <c r="P359" s="38">
        <f t="shared" si="214"/>
        <v>-1458</v>
      </c>
      <c r="Q359" s="106"/>
      <c r="R359" s="107"/>
      <c r="S359" s="26">
        <f t="shared" si="215"/>
        <v>-1458</v>
      </c>
      <c r="T359" s="177"/>
      <c r="U359" s="136"/>
      <c r="V359" s="45">
        <f t="shared" si="216"/>
        <v>-1458</v>
      </c>
      <c r="W359" s="143"/>
    </row>
    <row r="360" spans="1:23" ht="15.75" customHeight="1">
      <c r="A360" s="114"/>
      <c r="B360" s="118"/>
      <c r="C360" s="117"/>
      <c r="D360" s="45">
        <f t="shared" si="210"/>
        <v>-1458</v>
      </c>
      <c r="E360" s="106"/>
      <c r="F360" s="107"/>
      <c r="G360" s="26">
        <f t="shared" si="211"/>
        <v>-1458</v>
      </c>
      <c r="H360" s="133"/>
      <c r="I360" s="117"/>
      <c r="J360" s="19">
        <f t="shared" si="212"/>
        <v>-1458</v>
      </c>
      <c r="K360" s="106"/>
      <c r="L360" s="107"/>
      <c r="M360" s="26">
        <f t="shared" si="213"/>
        <v>-1458</v>
      </c>
      <c r="N360" s="117"/>
      <c r="O360" s="117"/>
      <c r="P360" s="38">
        <f t="shared" si="214"/>
        <v>-1458</v>
      </c>
      <c r="Q360" s="106"/>
      <c r="R360" s="107"/>
      <c r="S360" s="26">
        <f t="shared" si="215"/>
        <v>-1458</v>
      </c>
      <c r="T360" s="177"/>
      <c r="U360" s="136"/>
      <c r="V360" s="45">
        <f t="shared" si="216"/>
        <v>-1458</v>
      </c>
      <c r="W360" s="143"/>
    </row>
    <row r="361" spans="1:23" ht="15.75" customHeight="1">
      <c r="A361" s="114"/>
      <c r="B361" s="118"/>
      <c r="C361" s="117"/>
      <c r="D361" s="45">
        <f t="shared" si="210"/>
        <v>-1458</v>
      </c>
      <c r="E361" s="106"/>
      <c r="F361" s="107"/>
      <c r="G361" s="26">
        <f t="shared" si="211"/>
        <v>-1458</v>
      </c>
      <c r="H361" s="133"/>
      <c r="I361" s="117"/>
      <c r="J361" s="19">
        <f t="shared" si="212"/>
        <v>-1458</v>
      </c>
      <c r="K361" s="106"/>
      <c r="L361" s="107"/>
      <c r="M361" s="26">
        <f t="shared" si="213"/>
        <v>-1458</v>
      </c>
      <c r="N361" s="117"/>
      <c r="O361" s="117"/>
      <c r="P361" s="38">
        <f t="shared" si="214"/>
        <v>-1458</v>
      </c>
      <c r="Q361" s="106"/>
      <c r="R361" s="107"/>
      <c r="S361" s="26">
        <f t="shared" si="215"/>
        <v>-1458</v>
      </c>
      <c r="T361" s="136"/>
      <c r="U361" s="136"/>
      <c r="V361" s="45">
        <f t="shared" si="216"/>
        <v>-1458</v>
      </c>
      <c r="W361" s="143"/>
    </row>
    <row r="362" spans="1:23" ht="15.75" customHeight="1">
      <c r="A362" s="114"/>
      <c r="B362" s="117"/>
      <c r="C362" s="117"/>
      <c r="D362" s="45">
        <f t="shared" si="210"/>
        <v>-1458</v>
      </c>
      <c r="E362" s="106"/>
      <c r="F362" s="107"/>
      <c r="G362" s="26">
        <f t="shared" si="211"/>
        <v>-1458</v>
      </c>
      <c r="H362" s="133"/>
      <c r="I362" s="117"/>
      <c r="J362" s="19">
        <f t="shared" si="212"/>
        <v>-1458</v>
      </c>
      <c r="K362" s="106"/>
      <c r="L362" s="107"/>
      <c r="M362" s="26">
        <f t="shared" si="213"/>
        <v>-1458</v>
      </c>
      <c r="N362" s="117"/>
      <c r="O362" s="117"/>
      <c r="P362" s="38">
        <f t="shared" si="214"/>
        <v>-1458</v>
      </c>
      <c r="Q362" s="106"/>
      <c r="R362" s="107"/>
      <c r="S362" s="26">
        <f t="shared" si="215"/>
        <v>-1458</v>
      </c>
      <c r="T362" s="136"/>
      <c r="U362" s="136"/>
      <c r="V362" s="45">
        <f t="shared" si="216"/>
        <v>-1458</v>
      </c>
      <c r="W362" s="143"/>
    </row>
    <row r="363" spans="1:23" ht="15.75" customHeight="1">
      <c r="A363" s="114"/>
      <c r="B363" s="117"/>
      <c r="C363" s="117"/>
      <c r="D363" s="45">
        <f t="shared" si="210"/>
        <v>-1458</v>
      </c>
      <c r="E363" s="106"/>
      <c r="F363" s="107"/>
      <c r="G363" s="26">
        <f t="shared" si="211"/>
        <v>-1458</v>
      </c>
      <c r="H363" s="133"/>
      <c r="I363" s="117"/>
      <c r="J363" s="19">
        <f t="shared" si="212"/>
        <v>-1458</v>
      </c>
      <c r="K363" s="106"/>
      <c r="L363" s="107"/>
      <c r="M363" s="26">
        <f t="shared" si="213"/>
        <v>-1458</v>
      </c>
      <c r="N363" s="117"/>
      <c r="O363" s="117"/>
      <c r="P363" s="38">
        <f t="shared" si="214"/>
        <v>-1458</v>
      </c>
      <c r="Q363" s="106"/>
      <c r="R363" s="107"/>
      <c r="S363" s="26">
        <f t="shared" si="215"/>
        <v>-1458</v>
      </c>
      <c r="T363" s="136"/>
      <c r="U363" s="136"/>
      <c r="V363" s="45">
        <f t="shared" si="216"/>
        <v>-1458</v>
      </c>
      <c r="W363" s="143"/>
    </row>
    <row r="364" spans="1:23" ht="15.75" customHeight="1">
      <c r="A364" s="114"/>
      <c r="B364" s="117"/>
      <c r="C364" s="117"/>
      <c r="D364" s="45">
        <f t="shared" si="210"/>
        <v>-1458</v>
      </c>
      <c r="E364" s="106"/>
      <c r="F364" s="107"/>
      <c r="G364" s="26">
        <f t="shared" si="211"/>
        <v>-1458</v>
      </c>
      <c r="H364" s="133"/>
      <c r="I364" s="117"/>
      <c r="J364" s="19">
        <f t="shared" si="212"/>
        <v>-1458</v>
      </c>
      <c r="K364" s="106"/>
      <c r="L364" s="107"/>
      <c r="M364" s="26">
        <f t="shared" si="213"/>
        <v>-1458</v>
      </c>
      <c r="N364" s="117"/>
      <c r="O364" s="117"/>
      <c r="P364" s="38">
        <f t="shared" si="214"/>
        <v>-1458</v>
      </c>
      <c r="Q364" s="106"/>
      <c r="R364" s="107"/>
      <c r="S364" s="26">
        <f t="shared" si="215"/>
        <v>-1458</v>
      </c>
      <c r="T364" s="136"/>
      <c r="U364" s="136"/>
      <c r="V364" s="45">
        <f t="shared" si="216"/>
        <v>-1458</v>
      </c>
      <c r="W364" s="143"/>
    </row>
    <row r="365" spans="1:23" ht="15.75" customHeight="1">
      <c r="A365" s="114"/>
      <c r="B365" s="117"/>
      <c r="C365" s="117"/>
      <c r="D365" s="45">
        <f t="shared" si="210"/>
        <v>-1458</v>
      </c>
      <c r="E365" s="122"/>
      <c r="F365" s="123"/>
      <c r="G365" s="26">
        <f t="shared" si="211"/>
        <v>-1458</v>
      </c>
      <c r="H365" s="133"/>
      <c r="I365" s="117"/>
      <c r="J365" s="19">
        <f t="shared" si="212"/>
        <v>-1458</v>
      </c>
      <c r="K365" s="122"/>
      <c r="L365" s="123"/>
      <c r="M365" s="26">
        <f t="shared" si="213"/>
        <v>-1458</v>
      </c>
      <c r="N365" s="117"/>
      <c r="O365" s="117"/>
      <c r="P365" s="38">
        <f t="shared" si="214"/>
        <v>-1458</v>
      </c>
      <c r="Q365" s="122"/>
      <c r="R365" s="123"/>
      <c r="S365" s="26">
        <f t="shared" si="215"/>
        <v>-1458</v>
      </c>
      <c r="T365" s="136"/>
      <c r="U365" s="136"/>
      <c r="V365" s="45">
        <f t="shared" si="216"/>
        <v>-1458</v>
      </c>
      <c r="W365" s="143"/>
    </row>
    <row r="366" spans="1:23" ht="15.75" customHeight="1">
      <c r="A366" s="114"/>
      <c r="B366" s="128"/>
      <c r="C366" s="128"/>
      <c r="D366" s="46">
        <f t="shared" si="210"/>
        <v>-1458</v>
      </c>
      <c r="E366" s="122"/>
      <c r="F366" s="123"/>
      <c r="G366" s="39">
        <f t="shared" si="211"/>
        <v>-1458</v>
      </c>
      <c r="H366" s="140"/>
      <c r="I366" s="128"/>
      <c r="J366" s="29">
        <f t="shared" si="212"/>
        <v>-1458</v>
      </c>
      <c r="K366" s="122"/>
      <c r="L366" s="123"/>
      <c r="M366" s="39">
        <f t="shared" si="213"/>
        <v>-1458</v>
      </c>
      <c r="N366" s="128"/>
      <c r="O366" s="128"/>
      <c r="P366" s="40">
        <f t="shared" si="214"/>
        <v>-1458</v>
      </c>
      <c r="Q366" s="122"/>
      <c r="R366" s="123"/>
      <c r="S366" s="39">
        <f t="shared" si="215"/>
        <v>-1458</v>
      </c>
      <c r="T366" s="141"/>
      <c r="U366" s="141"/>
      <c r="V366" s="46">
        <f t="shared" si="216"/>
        <v>-1458</v>
      </c>
      <c r="W366" s="143"/>
    </row>
    <row r="367" spans="1:23" ht="15.75" customHeight="1">
      <c r="A367" s="87"/>
      <c r="B367" s="77">
        <f ca="1">IFERROR(__xludf.DUMMYFUNCTION("DATE(VALUE(LEFT($B$2,4)),VALUE(MID($B$2,6,2)),VALUE(RIGHT($B$2,2)))
+ (VALUE(REGEXEXTRACT(INDIRECT(""A""&amp;ROW()+1),""\d+""))-1)*7
+ INT((COLUMN()-COLUMN($B367))/3)
"),46600)</f>
        <v>46600</v>
      </c>
      <c r="C367" s="81"/>
      <c r="D367" s="82"/>
      <c r="E367" s="77">
        <f ca="1">IFERROR(__xludf.DUMMYFUNCTION("DATE(VALUE(LEFT($B$2,4)),VALUE(MID($B$2,6,2)),VALUE(RIGHT($B$2,2)))
+ (VALUE(REGEXEXTRACT(INDIRECT(""A""&amp;ROW()+1),""\d+""))-1)*7
+ INT((COLUMN()-COLUMN($B367))/3)
"),46601)</f>
        <v>46601</v>
      </c>
      <c r="F367" s="81"/>
      <c r="G367" s="82"/>
      <c r="H367" s="77">
        <f ca="1">IFERROR(__xludf.DUMMYFUNCTION("DATE(VALUE(LEFT($B$2,4)),VALUE(MID($B$2,6,2)),VALUE(RIGHT($B$2,2)))
+ (VALUE(REGEXEXTRACT(INDIRECT(""A""&amp;ROW()+1),""\d+""))-1)*7
+ INT((COLUMN()-COLUMN($B367))/3)
"),46602)</f>
        <v>46602</v>
      </c>
      <c r="I367" s="81"/>
      <c r="J367" s="82"/>
      <c r="K367" s="77">
        <f ca="1">IFERROR(__xludf.DUMMYFUNCTION("DATE(VALUE(LEFT($B$2,4)),VALUE(MID($B$2,6,2)),VALUE(RIGHT($B$2,2)))
+ (VALUE(REGEXEXTRACT(INDIRECT(""A""&amp;ROW()+1),""\d+""))-1)*7
+ INT((COLUMN()-COLUMN($B367))/3)
"),46603)</f>
        <v>46603</v>
      </c>
      <c r="L367" s="81"/>
      <c r="M367" s="82"/>
      <c r="N367" s="77">
        <f ca="1">IFERROR(__xludf.DUMMYFUNCTION("DATE(VALUE(LEFT($B$2,4)),VALUE(MID($B$2,6,2)),VALUE(RIGHT($B$2,2)))
+ (VALUE(REGEXEXTRACT(INDIRECT(""A""&amp;ROW()+1),""\d+""))-1)*7
+ INT((COLUMN()-COLUMN($B367))/3)
"),46604)</f>
        <v>46604</v>
      </c>
      <c r="O367" s="81"/>
      <c r="P367" s="82"/>
      <c r="Q367" s="77">
        <f ca="1">IFERROR(__xludf.DUMMYFUNCTION("DATE(VALUE(LEFT($B$2,4)),VALUE(MID($B$2,6,2)),VALUE(RIGHT($B$2,2)))
+ (VALUE(REGEXEXTRACT(INDIRECT(""A""&amp;ROW()+1),""\d+""))-1)*7
+ INT((COLUMN()-COLUMN($B367))/3)
"),46605)</f>
        <v>46605</v>
      </c>
      <c r="R367" s="81"/>
      <c r="S367" s="82"/>
      <c r="T367" s="77">
        <f ca="1">IFERROR(__xludf.DUMMYFUNCTION("DATE(VALUE(LEFT($B$2,4)),VALUE(MID($B$2,6,2)),VALUE(RIGHT($B$2,2)))
+ (VALUE(REGEXEXTRACT(INDIRECT(""A""&amp;ROW()+1),""\d+""))-1)*7
+ INT((COLUMN()-COLUMN($B367))/3)
"),46606)</f>
        <v>46606</v>
      </c>
      <c r="U367" s="81"/>
      <c r="V367" s="82"/>
      <c r="W367" s="143"/>
    </row>
    <row r="368" spans="1:23" ht="15.75" customHeight="1">
      <c r="A368" s="51" t="s">
        <v>160</v>
      </c>
      <c r="B368" s="112"/>
      <c r="C368" s="111"/>
      <c r="D368" s="48">
        <f>V366+C368</f>
        <v>-1458</v>
      </c>
      <c r="E368" s="113"/>
      <c r="F368" s="109"/>
      <c r="G368" s="42">
        <f>D378+F368</f>
        <v>-1458</v>
      </c>
      <c r="H368" s="110"/>
      <c r="I368" s="111"/>
      <c r="J368" s="17">
        <f>G378+I368</f>
        <v>-1458</v>
      </c>
      <c r="K368" s="109"/>
      <c r="L368" s="109"/>
      <c r="M368" s="35">
        <f>J378+L368</f>
        <v>-1458</v>
      </c>
      <c r="N368" s="112"/>
      <c r="O368" s="111"/>
      <c r="P368" s="17">
        <f>M378+O368</f>
        <v>-1458</v>
      </c>
      <c r="Q368" s="109"/>
      <c r="R368" s="109"/>
      <c r="S368" s="35">
        <f>P378+R368</f>
        <v>-1458</v>
      </c>
      <c r="T368" s="112"/>
      <c r="U368" s="111"/>
      <c r="V368" s="48">
        <f>S378+U368</f>
        <v>-1458</v>
      </c>
      <c r="W368" s="143"/>
    </row>
    <row r="369" spans="1:23" ht="15.75" customHeight="1">
      <c r="A369" s="114"/>
      <c r="B369" s="106"/>
      <c r="C369" s="107"/>
      <c r="D369" s="20">
        <f t="shared" ref="D369:D378" si="217">D368+C369</f>
        <v>-1458</v>
      </c>
      <c r="E369" s="118"/>
      <c r="F369" s="117"/>
      <c r="G369" s="19">
        <f t="shared" ref="G369:G378" si="218">G368+F369</f>
        <v>-1458</v>
      </c>
      <c r="H369" s="116"/>
      <c r="I369" s="107"/>
      <c r="J369" s="26">
        <f t="shared" ref="J369:J378" si="219">J368+I369</f>
        <v>-1458</v>
      </c>
      <c r="K369" s="117"/>
      <c r="L369" s="117"/>
      <c r="M369" s="38">
        <f t="shared" ref="M369:M378" si="220">M368+L369</f>
        <v>-1458</v>
      </c>
      <c r="N369" s="106"/>
      <c r="O369" s="107"/>
      <c r="P369" s="26">
        <f t="shared" ref="P369:P378" si="221">P368+O369</f>
        <v>-1458</v>
      </c>
      <c r="Q369" s="117"/>
      <c r="R369" s="117"/>
      <c r="S369" s="38">
        <f t="shared" ref="S369:S378" si="222">S368+R369</f>
        <v>-1458</v>
      </c>
      <c r="T369" s="106"/>
      <c r="U369" s="107"/>
      <c r="V369" s="20">
        <f t="shared" ref="V369:V378" si="223">V368+U369</f>
        <v>-1458</v>
      </c>
      <c r="W369" s="143"/>
    </row>
    <row r="370" spans="1:23" ht="15.75" customHeight="1">
      <c r="A370" s="114"/>
      <c r="B370" s="106"/>
      <c r="C370" s="107"/>
      <c r="D370" s="20">
        <f t="shared" si="217"/>
        <v>-1458</v>
      </c>
      <c r="E370" s="118"/>
      <c r="F370" s="117"/>
      <c r="G370" s="19">
        <f t="shared" si="218"/>
        <v>-1458</v>
      </c>
      <c r="H370" s="116"/>
      <c r="I370" s="107"/>
      <c r="J370" s="26">
        <f t="shared" si="219"/>
        <v>-1458</v>
      </c>
      <c r="K370" s="117"/>
      <c r="L370" s="117"/>
      <c r="M370" s="38">
        <f t="shared" si="220"/>
        <v>-1458</v>
      </c>
      <c r="N370" s="106"/>
      <c r="O370" s="107"/>
      <c r="P370" s="26">
        <f t="shared" si="221"/>
        <v>-1458</v>
      </c>
      <c r="Q370" s="117"/>
      <c r="R370" s="117"/>
      <c r="S370" s="38">
        <f t="shared" si="222"/>
        <v>-1458</v>
      </c>
      <c r="T370" s="106"/>
      <c r="U370" s="116"/>
      <c r="V370" s="20">
        <f t="shared" si="223"/>
        <v>-1458</v>
      </c>
      <c r="W370" s="143"/>
    </row>
    <row r="371" spans="1:23" ht="15.75" customHeight="1">
      <c r="A371" s="114"/>
      <c r="B371" s="106"/>
      <c r="C371" s="107"/>
      <c r="D371" s="20">
        <f t="shared" si="217"/>
        <v>-1458</v>
      </c>
      <c r="E371" s="118"/>
      <c r="F371" s="117"/>
      <c r="G371" s="19">
        <f t="shared" si="218"/>
        <v>-1458</v>
      </c>
      <c r="H371" s="116"/>
      <c r="I371" s="107"/>
      <c r="J371" s="26">
        <f t="shared" si="219"/>
        <v>-1458</v>
      </c>
      <c r="K371" s="117"/>
      <c r="L371" s="117"/>
      <c r="M371" s="38">
        <f t="shared" si="220"/>
        <v>-1458</v>
      </c>
      <c r="N371" s="106"/>
      <c r="O371" s="107"/>
      <c r="P371" s="26">
        <f t="shared" si="221"/>
        <v>-1458</v>
      </c>
      <c r="Q371" s="117"/>
      <c r="R371" s="117"/>
      <c r="S371" s="38">
        <f t="shared" si="222"/>
        <v>-1458</v>
      </c>
      <c r="T371" s="106"/>
      <c r="U371" s="116"/>
      <c r="V371" s="20">
        <f t="shared" si="223"/>
        <v>-1458</v>
      </c>
      <c r="W371" s="143"/>
    </row>
    <row r="372" spans="1:23" ht="15.75" customHeight="1">
      <c r="A372" s="114"/>
      <c r="B372" s="106"/>
      <c r="C372" s="107"/>
      <c r="D372" s="20">
        <f t="shared" si="217"/>
        <v>-1458</v>
      </c>
      <c r="E372" s="118"/>
      <c r="F372" s="117"/>
      <c r="G372" s="19">
        <f t="shared" si="218"/>
        <v>-1458</v>
      </c>
      <c r="H372" s="116"/>
      <c r="I372" s="107"/>
      <c r="J372" s="26">
        <f t="shared" si="219"/>
        <v>-1458</v>
      </c>
      <c r="K372" s="117"/>
      <c r="L372" s="117"/>
      <c r="M372" s="38">
        <f t="shared" si="220"/>
        <v>-1458</v>
      </c>
      <c r="N372" s="106"/>
      <c r="O372" s="107"/>
      <c r="P372" s="26">
        <f t="shared" si="221"/>
        <v>-1458</v>
      </c>
      <c r="Q372" s="117"/>
      <c r="R372" s="117"/>
      <c r="S372" s="38">
        <f t="shared" si="222"/>
        <v>-1458</v>
      </c>
      <c r="T372" s="106"/>
      <c r="U372" s="116"/>
      <c r="V372" s="20">
        <f t="shared" si="223"/>
        <v>-1458</v>
      </c>
      <c r="W372" s="143"/>
    </row>
    <row r="373" spans="1:23" ht="15.75" customHeight="1">
      <c r="A373" s="114"/>
      <c r="B373" s="106"/>
      <c r="C373" s="107"/>
      <c r="D373" s="20">
        <f t="shared" si="217"/>
        <v>-1458</v>
      </c>
      <c r="E373" s="118"/>
      <c r="F373" s="117"/>
      <c r="G373" s="19">
        <f t="shared" si="218"/>
        <v>-1458</v>
      </c>
      <c r="H373" s="116"/>
      <c r="I373" s="107"/>
      <c r="J373" s="26">
        <f t="shared" si="219"/>
        <v>-1458</v>
      </c>
      <c r="K373" s="117"/>
      <c r="L373" s="117"/>
      <c r="M373" s="38">
        <f t="shared" si="220"/>
        <v>-1458</v>
      </c>
      <c r="N373" s="106"/>
      <c r="O373" s="107"/>
      <c r="P373" s="26">
        <f t="shared" si="221"/>
        <v>-1458</v>
      </c>
      <c r="Q373" s="117"/>
      <c r="R373" s="117"/>
      <c r="S373" s="38">
        <f t="shared" si="222"/>
        <v>-1458</v>
      </c>
      <c r="T373" s="106"/>
      <c r="U373" s="116"/>
      <c r="V373" s="20">
        <f t="shared" si="223"/>
        <v>-1458</v>
      </c>
      <c r="W373" s="143"/>
    </row>
    <row r="374" spans="1:23" ht="15.75" customHeight="1">
      <c r="A374" s="114"/>
      <c r="B374" s="106"/>
      <c r="C374" s="107"/>
      <c r="D374" s="20">
        <f t="shared" si="217"/>
        <v>-1458</v>
      </c>
      <c r="E374" s="118"/>
      <c r="F374" s="117"/>
      <c r="G374" s="19">
        <f t="shared" si="218"/>
        <v>-1458</v>
      </c>
      <c r="H374" s="116"/>
      <c r="I374" s="107"/>
      <c r="J374" s="26">
        <f t="shared" si="219"/>
        <v>-1458</v>
      </c>
      <c r="K374" s="117"/>
      <c r="L374" s="117"/>
      <c r="M374" s="38">
        <f t="shared" si="220"/>
        <v>-1458</v>
      </c>
      <c r="N374" s="106"/>
      <c r="O374" s="107"/>
      <c r="P374" s="26">
        <f t="shared" si="221"/>
        <v>-1458</v>
      </c>
      <c r="Q374" s="117"/>
      <c r="R374" s="117"/>
      <c r="S374" s="38">
        <f t="shared" si="222"/>
        <v>-1458</v>
      </c>
      <c r="T374" s="106"/>
      <c r="U374" s="116"/>
      <c r="V374" s="20">
        <f t="shared" si="223"/>
        <v>-1458</v>
      </c>
      <c r="W374" s="143"/>
    </row>
    <row r="375" spans="1:23" ht="15.75" customHeight="1">
      <c r="A375" s="114"/>
      <c r="B375" s="106"/>
      <c r="C375" s="107"/>
      <c r="D375" s="20">
        <f t="shared" si="217"/>
        <v>-1458</v>
      </c>
      <c r="E375" s="118"/>
      <c r="F375" s="117"/>
      <c r="G375" s="19">
        <f t="shared" si="218"/>
        <v>-1458</v>
      </c>
      <c r="H375" s="116"/>
      <c r="I375" s="107"/>
      <c r="J375" s="26">
        <f t="shared" si="219"/>
        <v>-1458</v>
      </c>
      <c r="K375" s="117"/>
      <c r="L375" s="117"/>
      <c r="M375" s="38">
        <f t="shared" si="220"/>
        <v>-1458</v>
      </c>
      <c r="N375" s="106"/>
      <c r="O375" s="107"/>
      <c r="P375" s="26">
        <f t="shared" si="221"/>
        <v>-1458</v>
      </c>
      <c r="Q375" s="117"/>
      <c r="R375" s="117"/>
      <c r="S375" s="38">
        <f t="shared" si="222"/>
        <v>-1458</v>
      </c>
      <c r="T375" s="106"/>
      <c r="U375" s="116"/>
      <c r="V375" s="20">
        <f t="shared" si="223"/>
        <v>-1458</v>
      </c>
      <c r="W375" s="143"/>
    </row>
    <row r="376" spans="1:23" ht="15.75" customHeight="1">
      <c r="A376" s="114"/>
      <c r="B376" s="122"/>
      <c r="C376" s="123"/>
      <c r="D376" s="20">
        <f t="shared" si="217"/>
        <v>-1458</v>
      </c>
      <c r="E376" s="118"/>
      <c r="F376" s="117"/>
      <c r="G376" s="19">
        <f t="shared" si="218"/>
        <v>-1458</v>
      </c>
      <c r="H376" s="124"/>
      <c r="I376" s="123"/>
      <c r="J376" s="26">
        <f t="shared" si="219"/>
        <v>-1458</v>
      </c>
      <c r="K376" s="117"/>
      <c r="L376" s="117"/>
      <c r="M376" s="38">
        <f t="shared" si="220"/>
        <v>-1458</v>
      </c>
      <c r="N376" s="122"/>
      <c r="O376" s="123"/>
      <c r="P376" s="26">
        <f t="shared" si="221"/>
        <v>-1458</v>
      </c>
      <c r="Q376" s="117"/>
      <c r="R376" s="117"/>
      <c r="S376" s="38">
        <f t="shared" si="222"/>
        <v>-1458</v>
      </c>
      <c r="T376" s="106"/>
      <c r="U376" s="116"/>
      <c r="V376" s="20">
        <f t="shared" si="223"/>
        <v>-1458</v>
      </c>
      <c r="W376" s="143"/>
    </row>
    <row r="377" spans="1:23" ht="15.75" customHeight="1">
      <c r="A377" s="114"/>
      <c r="B377" s="122"/>
      <c r="C377" s="123"/>
      <c r="D377" s="20">
        <f t="shared" si="217"/>
        <v>-1458</v>
      </c>
      <c r="E377" s="118"/>
      <c r="F377" s="117"/>
      <c r="G377" s="19">
        <f t="shared" si="218"/>
        <v>-1458</v>
      </c>
      <c r="H377" s="124"/>
      <c r="I377" s="123"/>
      <c r="J377" s="26">
        <f t="shared" si="219"/>
        <v>-1458</v>
      </c>
      <c r="K377" s="117"/>
      <c r="L377" s="117"/>
      <c r="M377" s="38">
        <f t="shared" si="220"/>
        <v>-1458</v>
      </c>
      <c r="N377" s="122"/>
      <c r="O377" s="123"/>
      <c r="P377" s="26">
        <f t="shared" si="221"/>
        <v>-1458</v>
      </c>
      <c r="Q377" s="117"/>
      <c r="R377" s="117"/>
      <c r="S377" s="38">
        <f t="shared" si="222"/>
        <v>-1458</v>
      </c>
      <c r="T377" s="122"/>
      <c r="U377" s="124"/>
      <c r="V377" s="20">
        <f t="shared" si="223"/>
        <v>-1458</v>
      </c>
      <c r="W377" s="143"/>
    </row>
    <row r="378" spans="1:23" ht="15.75" customHeight="1">
      <c r="A378" s="114"/>
      <c r="B378" s="122"/>
      <c r="C378" s="123"/>
      <c r="D378" s="49">
        <f t="shared" si="217"/>
        <v>-1458</v>
      </c>
      <c r="E378" s="154"/>
      <c r="F378" s="128"/>
      <c r="G378" s="29">
        <f t="shared" si="218"/>
        <v>-1458</v>
      </c>
      <c r="H378" s="124"/>
      <c r="I378" s="123"/>
      <c r="J378" s="39">
        <f t="shared" si="219"/>
        <v>-1458</v>
      </c>
      <c r="K378" s="128"/>
      <c r="L378" s="128"/>
      <c r="M378" s="40">
        <f t="shared" si="220"/>
        <v>-1458</v>
      </c>
      <c r="N378" s="122"/>
      <c r="O378" s="123"/>
      <c r="P378" s="39">
        <f t="shared" si="221"/>
        <v>-1458</v>
      </c>
      <c r="Q378" s="128"/>
      <c r="R378" s="128"/>
      <c r="S378" s="40">
        <f t="shared" si="222"/>
        <v>-1458</v>
      </c>
      <c r="T378" s="122"/>
      <c r="U378" s="123"/>
      <c r="V378" s="49">
        <f t="shared" si="223"/>
        <v>-1458</v>
      </c>
      <c r="W378" s="143"/>
    </row>
    <row r="379" spans="1:23" ht="15.75" customHeight="1">
      <c r="A379" s="87"/>
      <c r="B379" s="77">
        <f ca="1">IFERROR(__xludf.DUMMYFUNCTION("DATE(VALUE(LEFT($B$2,4)),VALUE(MID($B$2,6,2)),VALUE(RIGHT($B$2,2)))
+ (VALUE(REGEXEXTRACT(INDIRECT(""A""&amp;ROW()+1),""\d+""))-1)*7
+ INT((COLUMN()-COLUMN($B379))/3)
"),46607)</f>
        <v>46607</v>
      </c>
      <c r="C379" s="81"/>
      <c r="D379" s="82"/>
      <c r="E379" s="77">
        <f ca="1">IFERROR(__xludf.DUMMYFUNCTION("DATE(VALUE(LEFT($B$2,4)),VALUE(MID($B$2,6,2)),VALUE(RIGHT($B$2,2)))
+ (VALUE(REGEXEXTRACT(INDIRECT(""A""&amp;ROW()+1),""\d+""))-1)*7
+ INT((COLUMN()-COLUMN($B379))/3)
"),46608)</f>
        <v>46608</v>
      </c>
      <c r="F379" s="81"/>
      <c r="G379" s="82"/>
      <c r="H379" s="77">
        <f ca="1">IFERROR(__xludf.DUMMYFUNCTION("DATE(VALUE(LEFT($B$2,4)),VALUE(MID($B$2,6,2)),VALUE(RIGHT($B$2,2)))
+ (VALUE(REGEXEXTRACT(INDIRECT(""A""&amp;ROW()+1),""\d+""))-1)*7
+ INT((COLUMN()-COLUMN($B379))/3)
"),46609)</f>
        <v>46609</v>
      </c>
      <c r="I379" s="81"/>
      <c r="J379" s="82"/>
      <c r="K379" s="77">
        <f ca="1">IFERROR(__xludf.DUMMYFUNCTION("DATE(VALUE(LEFT($B$2,4)),VALUE(MID($B$2,6,2)),VALUE(RIGHT($B$2,2)))
+ (VALUE(REGEXEXTRACT(INDIRECT(""A""&amp;ROW()+1),""\d+""))-1)*7
+ INT((COLUMN()-COLUMN($B379))/3)
"),46610)</f>
        <v>46610</v>
      </c>
      <c r="L379" s="81"/>
      <c r="M379" s="82"/>
      <c r="N379" s="77">
        <f ca="1">IFERROR(__xludf.DUMMYFUNCTION("DATE(VALUE(LEFT($B$2,4)),VALUE(MID($B$2,6,2)),VALUE(RIGHT($B$2,2)))
+ (VALUE(REGEXEXTRACT(INDIRECT(""A""&amp;ROW()+1),""\d+""))-1)*7
+ INT((COLUMN()-COLUMN($B379))/3)
"),46611)</f>
        <v>46611</v>
      </c>
      <c r="O379" s="81"/>
      <c r="P379" s="82"/>
      <c r="Q379" s="77">
        <f ca="1">IFERROR(__xludf.DUMMYFUNCTION("DATE(VALUE(LEFT($B$2,4)),VALUE(MID($B$2,6,2)),VALUE(RIGHT($B$2,2)))
+ (VALUE(REGEXEXTRACT(INDIRECT(""A""&amp;ROW()+1),""\d+""))-1)*7
+ INT((COLUMN()-COLUMN($B379))/3)
"),46612)</f>
        <v>46612</v>
      </c>
      <c r="R379" s="81"/>
      <c r="S379" s="82"/>
      <c r="T379" s="77">
        <f ca="1">IFERROR(__xludf.DUMMYFUNCTION("DATE(VALUE(LEFT($B$2,4)),VALUE(MID($B$2,6,2)),VALUE(RIGHT($B$2,2)))
+ (VALUE(REGEXEXTRACT(INDIRECT(""A""&amp;ROW()+1),""\d+""))-1)*7
+ INT((COLUMN()-COLUMN($B379))/3)
"),46613)</f>
        <v>46613</v>
      </c>
      <c r="U379" s="81"/>
      <c r="V379" s="82"/>
      <c r="W379" s="52" t="s">
        <v>20</v>
      </c>
    </row>
    <row r="380" spans="1:23" ht="15.75" customHeight="1">
      <c r="A380" s="47" t="s">
        <v>161</v>
      </c>
      <c r="B380" s="113"/>
      <c r="C380" s="109"/>
      <c r="D380" s="50">
        <f>V378+C380</f>
        <v>-1458</v>
      </c>
      <c r="E380" s="112"/>
      <c r="F380" s="111"/>
      <c r="G380" s="17">
        <f>D390+F380</f>
        <v>-1458</v>
      </c>
      <c r="H380" s="132"/>
      <c r="I380" s="109"/>
      <c r="J380" s="42">
        <f>G390+I380</f>
        <v>-1458</v>
      </c>
      <c r="K380" s="112"/>
      <c r="L380" s="111"/>
      <c r="M380" s="18">
        <f>J390+L380</f>
        <v>-1458</v>
      </c>
      <c r="N380" s="113"/>
      <c r="O380" s="109"/>
      <c r="P380" s="35">
        <f>M390+O380</f>
        <v>-1458</v>
      </c>
      <c r="Q380" s="112"/>
      <c r="R380" s="111"/>
      <c r="S380" s="18">
        <f>P390+R380</f>
        <v>-1458</v>
      </c>
      <c r="T380" s="173"/>
      <c r="U380" s="173"/>
      <c r="V380" s="50">
        <f>S390+U380</f>
        <v>-1458</v>
      </c>
      <c r="W380" s="172"/>
    </row>
    <row r="381" spans="1:23" ht="15.75" customHeight="1">
      <c r="A381" s="114"/>
      <c r="B381" s="118"/>
      <c r="C381" s="117"/>
      <c r="D381" s="45">
        <f t="shared" ref="D381:D390" si="224">D380+C381</f>
        <v>-1458</v>
      </c>
      <c r="E381" s="106"/>
      <c r="F381" s="107"/>
      <c r="G381" s="26">
        <f t="shared" ref="G381:G390" si="225">G380+F381</f>
        <v>-1458</v>
      </c>
      <c r="H381" s="133"/>
      <c r="I381" s="117"/>
      <c r="J381" s="19">
        <f t="shared" ref="J381:J390" si="226">J380+I381</f>
        <v>-1458</v>
      </c>
      <c r="K381" s="106"/>
      <c r="L381" s="107"/>
      <c r="M381" s="26">
        <f t="shared" ref="M381:M390" si="227">M380+L381</f>
        <v>-1458</v>
      </c>
      <c r="N381" s="118"/>
      <c r="O381" s="117"/>
      <c r="P381" s="38">
        <f t="shared" ref="P381:P390" si="228">P380+O381</f>
        <v>-1458</v>
      </c>
      <c r="Q381" s="106"/>
      <c r="R381" s="107"/>
      <c r="S381" s="26">
        <f t="shared" ref="S381:S390" si="229">S380+R381</f>
        <v>-1458</v>
      </c>
      <c r="T381" s="136"/>
      <c r="U381" s="136"/>
      <c r="V381" s="45">
        <f t="shared" ref="V381:V390" si="230">V380+U381</f>
        <v>-1458</v>
      </c>
      <c r="W381" s="143"/>
    </row>
    <row r="382" spans="1:23" ht="15.75" customHeight="1">
      <c r="A382" s="114"/>
      <c r="B382" s="118"/>
      <c r="C382" s="117"/>
      <c r="D382" s="45">
        <f t="shared" si="224"/>
        <v>-1458</v>
      </c>
      <c r="E382" s="106"/>
      <c r="F382" s="107"/>
      <c r="G382" s="26">
        <f t="shared" si="225"/>
        <v>-1458</v>
      </c>
      <c r="H382" s="133"/>
      <c r="I382" s="117"/>
      <c r="J382" s="19">
        <f t="shared" si="226"/>
        <v>-1458</v>
      </c>
      <c r="K382" s="106"/>
      <c r="L382" s="107"/>
      <c r="M382" s="26">
        <f t="shared" si="227"/>
        <v>-1458</v>
      </c>
      <c r="N382" s="117"/>
      <c r="O382" s="117"/>
      <c r="P382" s="38">
        <f t="shared" si="228"/>
        <v>-1458</v>
      </c>
      <c r="Q382" s="106"/>
      <c r="R382" s="107"/>
      <c r="S382" s="26">
        <f t="shared" si="229"/>
        <v>-1458</v>
      </c>
      <c r="T382" s="136"/>
      <c r="U382" s="136"/>
      <c r="V382" s="45">
        <f t="shared" si="230"/>
        <v>-1458</v>
      </c>
      <c r="W382" s="143"/>
    </row>
    <row r="383" spans="1:23" ht="15.75" customHeight="1">
      <c r="A383" s="114"/>
      <c r="B383" s="118"/>
      <c r="C383" s="117"/>
      <c r="D383" s="45">
        <f t="shared" si="224"/>
        <v>-1458</v>
      </c>
      <c r="E383" s="106"/>
      <c r="F383" s="107"/>
      <c r="G383" s="26">
        <f t="shared" si="225"/>
        <v>-1458</v>
      </c>
      <c r="H383" s="117"/>
      <c r="I383" s="117"/>
      <c r="J383" s="19">
        <f t="shared" si="226"/>
        <v>-1458</v>
      </c>
      <c r="K383" s="106"/>
      <c r="L383" s="107"/>
      <c r="M383" s="26">
        <f t="shared" si="227"/>
        <v>-1458</v>
      </c>
      <c r="N383" s="117"/>
      <c r="O383" s="117"/>
      <c r="P383" s="38">
        <f t="shared" si="228"/>
        <v>-1458</v>
      </c>
      <c r="Q383" s="106"/>
      <c r="R383" s="107"/>
      <c r="S383" s="26">
        <f t="shared" si="229"/>
        <v>-1458</v>
      </c>
      <c r="T383" s="136"/>
      <c r="U383" s="136"/>
      <c r="V383" s="45">
        <f t="shared" si="230"/>
        <v>-1458</v>
      </c>
      <c r="W383" s="143"/>
    </row>
    <row r="384" spans="1:23" ht="15.75" customHeight="1">
      <c r="A384" s="114"/>
      <c r="B384" s="118"/>
      <c r="C384" s="117"/>
      <c r="D384" s="45">
        <f t="shared" si="224"/>
        <v>-1458</v>
      </c>
      <c r="E384" s="106"/>
      <c r="F384" s="107"/>
      <c r="G384" s="26">
        <f t="shared" si="225"/>
        <v>-1458</v>
      </c>
      <c r="H384" s="117"/>
      <c r="I384" s="117"/>
      <c r="J384" s="19">
        <f t="shared" si="226"/>
        <v>-1458</v>
      </c>
      <c r="K384" s="106"/>
      <c r="L384" s="107"/>
      <c r="M384" s="26">
        <f t="shared" si="227"/>
        <v>-1458</v>
      </c>
      <c r="N384" s="117"/>
      <c r="O384" s="117"/>
      <c r="P384" s="38">
        <f t="shared" si="228"/>
        <v>-1458</v>
      </c>
      <c r="Q384" s="106"/>
      <c r="R384" s="107"/>
      <c r="S384" s="26">
        <f t="shared" si="229"/>
        <v>-1458</v>
      </c>
      <c r="T384" s="136"/>
      <c r="U384" s="136"/>
      <c r="V384" s="45">
        <f t="shared" si="230"/>
        <v>-1458</v>
      </c>
      <c r="W384" s="143"/>
    </row>
    <row r="385" spans="1:23" ht="15.75" customHeight="1">
      <c r="A385" s="114"/>
      <c r="B385" s="118"/>
      <c r="C385" s="117"/>
      <c r="D385" s="45">
        <f t="shared" si="224"/>
        <v>-1458</v>
      </c>
      <c r="E385" s="106"/>
      <c r="F385" s="107"/>
      <c r="G385" s="26">
        <f t="shared" si="225"/>
        <v>-1458</v>
      </c>
      <c r="H385" s="117"/>
      <c r="I385" s="117"/>
      <c r="J385" s="19">
        <f t="shared" si="226"/>
        <v>-1458</v>
      </c>
      <c r="K385" s="106"/>
      <c r="L385" s="107"/>
      <c r="M385" s="26">
        <f t="shared" si="227"/>
        <v>-1458</v>
      </c>
      <c r="N385" s="117"/>
      <c r="O385" s="117"/>
      <c r="P385" s="38">
        <f t="shared" si="228"/>
        <v>-1458</v>
      </c>
      <c r="Q385" s="106"/>
      <c r="R385" s="107"/>
      <c r="S385" s="26">
        <f t="shared" si="229"/>
        <v>-1458</v>
      </c>
      <c r="T385" s="136"/>
      <c r="U385" s="136"/>
      <c r="V385" s="45">
        <f t="shared" si="230"/>
        <v>-1458</v>
      </c>
      <c r="W385" s="143"/>
    </row>
    <row r="386" spans="1:23" ht="15.75" customHeight="1">
      <c r="A386" s="114"/>
      <c r="B386" s="118"/>
      <c r="C386" s="117"/>
      <c r="D386" s="45">
        <f t="shared" si="224"/>
        <v>-1458</v>
      </c>
      <c r="E386" s="106"/>
      <c r="F386" s="107"/>
      <c r="G386" s="26">
        <f t="shared" si="225"/>
        <v>-1458</v>
      </c>
      <c r="H386" s="117"/>
      <c r="I386" s="117"/>
      <c r="J386" s="19">
        <f t="shared" si="226"/>
        <v>-1458</v>
      </c>
      <c r="K386" s="106"/>
      <c r="L386" s="107"/>
      <c r="M386" s="26">
        <f t="shared" si="227"/>
        <v>-1458</v>
      </c>
      <c r="N386" s="117"/>
      <c r="O386" s="117"/>
      <c r="P386" s="38">
        <f t="shared" si="228"/>
        <v>-1458</v>
      </c>
      <c r="Q386" s="106"/>
      <c r="R386" s="107"/>
      <c r="S386" s="26">
        <f t="shared" si="229"/>
        <v>-1458</v>
      </c>
      <c r="T386" s="136"/>
      <c r="U386" s="136"/>
      <c r="V386" s="45">
        <f t="shared" si="230"/>
        <v>-1458</v>
      </c>
      <c r="W386" s="143"/>
    </row>
    <row r="387" spans="1:23" ht="15.75" customHeight="1">
      <c r="A387" s="114"/>
      <c r="B387" s="117"/>
      <c r="C387" s="117"/>
      <c r="D387" s="45">
        <f t="shared" si="224"/>
        <v>-1458</v>
      </c>
      <c r="E387" s="106"/>
      <c r="F387" s="107"/>
      <c r="G387" s="26">
        <f t="shared" si="225"/>
        <v>-1458</v>
      </c>
      <c r="H387" s="117"/>
      <c r="I387" s="117"/>
      <c r="J387" s="19">
        <f t="shared" si="226"/>
        <v>-1458</v>
      </c>
      <c r="K387" s="106"/>
      <c r="L387" s="107"/>
      <c r="M387" s="26">
        <f t="shared" si="227"/>
        <v>-1458</v>
      </c>
      <c r="N387" s="117"/>
      <c r="O387" s="117"/>
      <c r="P387" s="38">
        <f t="shared" si="228"/>
        <v>-1458</v>
      </c>
      <c r="Q387" s="106"/>
      <c r="R387" s="107"/>
      <c r="S387" s="26">
        <f t="shared" si="229"/>
        <v>-1458</v>
      </c>
      <c r="T387" s="136"/>
      <c r="U387" s="136"/>
      <c r="V387" s="45">
        <f t="shared" si="230"/>
        <v>-1458</v>
      </c>
      <c r="W387" s="143"/>
    </row>
    <row r="388" spans="1:23" ht="15.75" customHeight="1">
      <c r="A388" s="114"/>
      <c r="B388" s="117"/>
      <c r="C388" s="117"/>
      <c r="D388" s="45">
        <f t="shared" si="224"/>
        <v>-1458</v>
      </c>
      <c r="E388" s="106"/>
      <c r="F388" s="107"/>
      <c r="G388" s="26">
        <f t="shared" si="225"/>
        <v>-1458</v>
      </c>
      <c r="H388" s="117"/>
      <c r="I388" s="117"/>
      <c r="J388" s="19">
        <f t="shared" si="226"/>
        <v>-1458</v>
      </c>
      <c r="K388" s="106"/>
      <c r="L388" s="107"/>
      <c r="M388" s="26">
        <f t="shared" si="227"/>
        <v>-1458</v>
      </c>
      <c r="N388" s="117"/>
      <c r="O388" s="117"/>
      <c r="P388" s="38">
        <f t="shared" si="228"/>
        <v>-1458</v>
      </c>
      <c r="Q388" s="106"/>
      <c r="R388" s="107"/>
      <c r="S388" s="26">
        <f t="shared" si="229"/>
        <v>-1458</v>
      </c>
      <c r="T388" s="136"/>
      <c r="U388" s="136"/>
      <c r="V388" s="45">
        <f t="shared" si="230"/>
        <v>-1458</v>
      </c>
      <c r="W388" s="143"/>
    </row>
    <row r="389" spans="1:23" ht="15.75" customHeight="1">
      <c r="A389" s="114"/>
      <c r="B389" s="117"/>
      <c r="C389" s="117"/>
      <c r="D389" s="45">
        <f t="shared" si="224"/>
        <v>-1458</v>
      </c>
      <c r="E389" s="122"/>
      <c r="F389" s="123"/>
      <c r="G389" s="26">
        <f t="shared" si="225"/>
        <v>-1458</v>
      </c>
      <c r="H389" s="133"/>
      <c r="I389" s="117"/>
      <c r="J389" s="19">
        <f t="shared" si="226"/>
        <v>-1458</v>
      </c>
      <c r="K389" s="122"/>
      <c r="L389" s="123"/>
      <c r="M389" s="26">
        <f t="shared" si="227"/>
        <v>-1458</v>
      </c>
      <c r="N389" s="117"/>
      <c r="O389" s="117"/>
      <c r="P389" s="38">
        <f t="shared" si="228"/>
        <v>-1458</v>
      </c>
      <c r="Q389" s="122"/>
      <c r="R389" s="123"/>
      <c r="S389" s="26">
        <f t="shared" si="229"/>
        <v>-1458</v>
      </c>
      <c r="T389" s="136"/>
      <c r="U389" s="136"/>
      <c r="V389" s="45">
        <f t="shared" si="230"/>
        <v>-1458</v>
      </c>
      <c r="W389" s="143"/>
    </row>
    <row r="390" spans="1:23" ht="15.75" customHeight="1">
      <c r="A390" s="114"/>
      <c r="B390" s="128"/>
      <c r="C390" s="128"/>
      <c r="D390" s="46">
        <f t="shared" si="224"/>
        <v>-1458</v>
      </c>
      <c r="E390" s="122"/>
      <c r="F390" s="123"/>
      <c r="G390" s="39">
        <f t="shared" si="225"/>
        <v>-1458</v>
      </c>
      <c r="H390" s="140"/>
      <c r="I390" s="128"/>
      <c r="J390" s="29">
        <f t="shared" si="226"/>
        <v>-1458</v>
      </c>
      <c r="K390" s="122"/>
      <c r="L390" s="123"/>
      <c r="M390" s="39">
        <f t="shared" si="227"/>
        <v>-1458</v>
      </c>
      <c r="N390" s="128"/>
      <c r="O390" s="128"/>
      <c r="P390" s="40">
        <f t="shared" si="228"/>
        <v>-1458</v>
      </c>
      <c r="Q390" s="122"/>
      <c r="R390" s="123"/>
      <c r="S390" s="39">
        <f t="shared" si="229"/>
        <v>-1458</v>
      </c>
      <c r="T390" s="141"/>
      <c r="U390" s="141"/>
      <c r="V390" s="46">
        <f t="shared" si="230"/>
        <v>-1458</v>
      </c>
      <c r="W390" s="143"/>
    </row>
    <row r="391" spans="1:23" ht="15.75" customHeight="1">
      <c r="A391" s="87"/>
      <c r="B391" s="77">
        <f ca="1">IFERROR(__xludf.DUMMYFUNCTION("DATE(VALUE(LEFT($B$2,4)),VALUE(MID($B$2,6,2)),VALUE(RIGHT($B$2,2)))
+ (VALUE(REGEXEXTRACT(INDIRECT(""A""&amp;ROW()+1),""\d+""))-1)*7
+ INT((COLUMN()-COLUMN($B391))/3)
"),46614)</f>
        <v>46614</v>
      </c>
      <c r="C391" s="81"/>
      <c r="D391" s="82"/>
      <c r="E391" s="77">
        <f ca="1">IFERROR(__xludf.DUMMYFUNCTION("DATE(VALUE(LEFT($B$2,4)),VALUE(MID($B$2,6,2)),VALUE(RIGHT($B$2,2)))
+ (VALUE(REGEXEXTRACT(INDIRECT(""A""&amp;ROW()+1),""\d+""))-1)*7
+ INT((COLUMN()-COLUMN($B391))/3)
"),46615)</f>
        <v>46615</v>
      </c>
      <c r="F391" s="81"/>
      <c r="G391" s="82"/>
      <c r="H391" s="77">
        <f ca="1">IFERROR(__xludf.DUMMYFUNCTION("DATE(VALUE(LEFT($B$2,4)),VALUE(MID($B$2,6,2)),VALUE(RIGHT($B$2,2)))
+ (VALUE(REGEXEXTRACT(INDIRECT(""A""&amp;ROW()+1),""\d+""))-1)*7
+ INT((COLUMN()-COLUMN($B391))/3)
"),46616)</f>
        <v>46616</v>
      </c>
      <c r="I391" s="81"/>
      <c r="J391" s="82"/>
      <c r="K391" s="77">
        <f ca="1">IFERROR(__xludf.DUMMYFUNCTION("DATE(VALUE(LEFT($B$2,4)),VALUE(MID($B$2,6,2)),VALUE(RIGHT($B$2,2)))
+ (VALUE(REGEXEXTRACT(INDIRECT(""A""&amp;ROW()+1),""\d+""))-1)*7
+ INT((COLUMN()-COLUMN($B391))/3)
"),46617)</f>
        <v>46617</v>
      </c>
      <c r="L391" s="81"/>
      <c r="M391" s="82"/>
      <c r="N391" s="77">
        <f ca="1">IFERROR(__xludf.DUMMYFUNCTION("DATE(VALUE(LEFT($B$2,4)),VALUE(MID($B$2,6,2)),VALUE(RIGHT($B$2,2)))
+ (VALUE(REGEXEXTRACT(INDIRECT(""A""&amp;ROW()+1),""\d+""))-1)*7
+ INT((COLUMN()-COLUMN($B391))/3)
"),46618)</f>
        <v>46618</v>
      </c>
      <c r="O391" s="81"/>
      <c r="P391" s="82"/>
      <c r="Q391" s="77">
        <f ca="1">IFERROR(__xludf.DUMMYFUNCTION("DATE(VALUE(LEFT($B$2,4)),VALUE(MID($B$2,6,2)),VALUE(RIGHT($B$2,2)))
+ (VALUE(REGEXEXTRACT(INDIRECT(""A""&amp;ROW()+1),""\d+""))-1)*7
+ INT((COLUMN()-COLUMN($B391))/3)
"),46619)</f>
        <v>46619</v>
      </c>
      <c r="R391" s="81"/>
      <c r="S391" s="82"/>
      <c r="T391" s="77">
        <f ca="1">IFERROR(__xludf.DUMMYFUNCTION("DATE(VALUE(LEFT($B$2,4)),VALUE(MID($B$2,6,2)),VALUE(RIGHT($B$2,2)))
+ (VALUE(REGEXEXTRACT(INDIRECT(""A""&amp;ROW()+1),""\d+""))-1)*7
+ INT((COLUMN()-COLUMN($B391))/3)
"),46620)</f>
        <v>46620</v>
      </c>
      <c r="U391" s="81"/>
      <c r="V391" s="82"/>
      <c r="W391" s="143"/>
    </row>
    <row r="392" spans="1:23" ht="15.75" customHeight="1">
      <c r="A392" s="51" t="s">
        <v>162</v>
      </c>
      <c r="B392" s="112"/>
      <c r="C392" s="111"/>
      <c r="D392" s="48">
        <f>V390+C392</f>
        <v>-1458</v>
      </c>
      <c r="E392" s="113"/>
      <c r="F392" s="109"/>
      <c r="G392" s="42">
        <f>D402+F392</f>
        <v>-1458</v>
      </c>
      <c r="H392" s="110"/>
      <c r="I392" s="111"/>
      <c r="J392" s="17">
        <f>G402+I392</f>
        <v>-1458</v>
      </c>
      <c r="K392" s="109"/>
      <c r="L392" s="109"/>
      <c r="M392" s="35">
        <f>J402+L392</f>
        <v>-1458</v>
      </c>
      <c r="N392" s="112"/>
      <c r="O392" s="111"/>
      <c r="P392" s="17">
        <f>M402+O392</f>
        <v>-1458</v>
      </c>
      <c r="Q392" s="109"/>
      <c r="R392" s="109"/>
      <c r="S392" s="35">
        <f>P402+R392</f>
        <v>-1458</v>
      </c>
      <c r="T392" s="112"/>
      <c r="U392" s="111"/>
      <c r="V392" s="48">
        <f>S402+U392</f>
        <v>-1458</v>
      </c>
      <c r="W392" s="143"/>
    </row>
    <row r="393" spans="1:23" ht="15.75" customHeight="1">
      <c r="A393" s="114"/>
      <c r="B393" s="106"/>
      <c r="C393" s="107"/>
      <c r="D393" s="20">
        <f t="shared" ref="D393:D402" si="231">D392+C393</f>
        <v>-1458</v>
      </c>
      <c r="E393" s="118"/>
      <c r="F393" s="117"/>
      <c r="G393" s="19">
        <f t="shared" ref="G393:G402" si="232">G392+F393</f>
        <v>-1458</v>
      </c>
      <c r="H393" s="116"/>
      <c r="I393" s="107"/>
      <c r="J393" s="26">
        <f t="shared" ref="J393:J402" si="233">J392+I393</f>
        <v>-1458</v>
      </c>
      <c r="K393" s="117"/>
      <c r="L393" s="117"/>
      <c r="M393" s="38">
        <f t="shared" ref="M393:M402" si="234">M392+L393</f>
        <v>-1458</v>
      </c>
      <c r="N393" s="106"/>
      <c r="O393" s="107"/>
      <c r="P393" s="26">
        <f t="shared" ref="P393:P402" si="235">P392+O393</f>
        <v>-1458</v>
      </c>
      <c r="Q393" s="117"/>
      <c r="R393" s="117"/>
      <c r="S393" s="38">
        <f t="shared" ref="S393:S402" si="236">S392+R393</f>
        <v>-1458</v>
      </c>
      <c r="T393" s="106"/>
      <c r="U393" s="107"/>
      <c r="V393" s="20">
        <f t="shared" ref="V393:V402" si="237">V392+U393</f>
        <v>-1458</v>
      </c>
      <c r="W393" s="143"/>
    </row>
    <row r="394" spans="1:23" ht="15.75" customHeight="1">
      <c r="A394" s="114"/>
      <c r="B394" s="106"/>
      <c r="C394" s="107"/>
      <c r="D394" s="20">
        <f t="shared" si="231"/>
        <v>-1458</v>
      </c>
      <c r="E394" s="118"/>
      <c r="F394" s="117"/>
      <c r="G394" s="19">
        <f t="shared" si="232"/>
        <v>-1458</v>
      </c>
      <c r="H394" s="116"/>
      <c r="I394" s="107"/>
      <c r="J394" s="26">
        <f t="shared" si="233"/>
        <v>-1458</v>
      </c>
      <c r="K394" s="117"/>
      <c r="L394" s="117"/>
      <c r="M394" s="38">
        <f t="shared" si="234"/>
        <v>-1458</v>
      </c>
      <c r="N394" s="106"/>
      <c r="O394" s="107"/>
      <c r="P394" s="26">
        <f t="shared" si="235"/>
        <v>-1458</v>
      </c>
      <c r="Q394" s="117"/>
      <c r="R394" s="117"/>
      <c r="S394" s="38">
        <f t="shared" si="236"/>
        <v>-1458</v>
      </c>
      <c r="T394" s="106"/>
      <c r="U394" s="116"/>
      <c r="V394" s="20">
        <f t="shared" si="237"/>
        <v>-1458</v>
      </c>
      <c r="W394" s="143"/>
    </row>
    <row r="395" spans="1:23" ht="15.75" customHeight="1">
      <c r="A395" s="114"/>
      <c r="B395" s="106"/>
      <c r="C395" s="107"/>
      <c r="D395" s="20">
        <f t="shared" si="231"/>
        <v>-1458</v>
      </c>
      <c r="E395" s="118"/>
      <c r="F395" s="117"/>
      <c r="G395" s="19">
        <f t="shared" si="232"/>
        <v>-1458</v>
      </c>
      <c r="H395" s="116"/>
      <c r="I395" s="107"/>
      <c r="J395" s="26">
        <f t="shared" si="233"/>
        <v>-1458</v>
      </c>
      <c r="K395" s="117"/>
      <c r="L395" s="117"/>
      <c r="M395" s="38">
        <f t="shared" si="234"/>
        <v>-1458</v>
      </c>
      <c r="N395" s="106"/>
      <c r="O395" s="107"/>
      <c r="P395" s="26">
        <f t="shared" si="235"/>
        <v>-1458</v>
      </c>
      <c r="Q395" s="117"/>
      <c r="R395" s="117"/>
      <c r="S395" s="38">
        <f t="shared" si="236"/>
        <v>-1458</v>
      </c>
      <c r="T395" s="106"/>
      <c r="U395" s="116"/>
      <c r="V395" s="20">
        <f t="shared" si="237"/>
        <v>-1458</v>
      </c>
      <c r="W395" s="143"/>
    </row>
    <row r="396" spans="1:23" ht="15.75" customHeight="1">
      <c r="A396" s="114"/>
      <c r="B396" s="106"/>
      <c r="C396" s="107"/>
      <c r="D396" s="20">
        <f t="shared" si="231"/>
        <v>-1458</v>
      </c>
      <c r="E396" s="118"/>
      <c r="F396" s="117"/>
      <c r="G396" s="19">
        <f t="shared" si="232"/>
        <v>-1458</v>
      </c>
      <c r="H396" s="116"/>
      <c r="I396" s="107"/>
      <c r="J396" s="26">
        <f t="shared" si="233"/>
        <v>-1458</v>
      </c>
      <c r="K396" s="117"/>
      <c r="L396" s="117"/>
      <c r="M396" s="38">
        <f t="shared" si="234"/>
        <v>-1458</v>
      </c>
      <c r="N396" s="106"/>
      <c r="O396" s="107"/>
      <c r="P396" s="26">
        <f t="shared" si="235"/>
        <v>-1458</v>
      </c>
      <c r="Q396" s="117"/>
      <c r="R396" s="117"/>
      <c r="S396" s="38">
        <f t="shared" si="236"/>
        <v>-1458</v>
      </c>
      <c r="T396" s="106"/>
      <c r="U396" s="116"/>
      <c r="V396" s="20">
        <f t="shared" si="237"/>
        <v>-1458</v>
      </c>
      <c r="W396" s="143"/>
    </row>
    <row r="397" spans="1:23" ht="15.75" customHeight="1">
      <c r="A397" s="114"/>
      <c r="B397" s="106"/>
      <c r="C397" s="107"/>
      <c r="D397" s="20">
        <f t="shared" si="231"/>
        <v>-1458</v>
      </c>
      <c r="E397" s="118"/>
      <c r="F397" s="117"/>
      <c r="G397" s="19">
        <f t="shared" si="232"/>
        <v>-1458</v>
      </c>
      <c r="H397" s="116"/>
      <c r="I397" s="107"/>
      <c r="J397" s="26">
        <f t="shared" si="233"/>
        <v>-1458</v>
      </c>
      <c r="K397" s="117"/>
      <c r="L397" s="117"/>
      <c r="M397" s="38">
        <f t="shared" si="234"/>
        <v>-1458</v>
      </c>
      <c r="N397" s="106"/>
      <c r="O397" s="107"/>
      <c r="P397" s="26">
        <f t="shared" si="235"/>
        <v>-1458</v>
      </c>
      <c r="Q397" s="117"/>
      <c r="R397" s="117"/>
      <c r="S397" s="38">
        <f t="shared" si="236"/>
        <v>-1458</v>
      </c>
      <c r="T397" s="106"/>
      <c r="U397" s="116"/>
      <c r="V397" s="20">
        <f t="shared" si="237"/>
        <v>-1458</v>
      </c>
      <c r="W397" s="143"/>
    </row>
    <row r="398" spans="1:23" ht="15.75" customHeight="1">
      <c r="A398" s="114"/>
      <c r="B398" s="106"/>
      <c r="C398" s="107"/>
      <c r="D398" s="20">
        <f t="shared" si="231"/>
        <v>-1458</v>
      </c>
      <c r="E398" s="118"/>
      <c r="F398" s="117"/>
      <c r="G398" s="19">
        <f t="shared" si="232"/>
        <v>-1458</v>
      </c>
      <c r="H398" s="116"/>
      <c r="I398" s="107"/>
      <c r="J398" s="26">
        <f t="shared" si="233"/>
        <v>-1458</v>
      </c>
      <c r="K398" s="117"/>
      <c r="L398" s="117"/>
      <c r="M398" s="38">
        <f t="shared" si="234"/>
        <v>-1458</v>
      </c>
      <c r="N398" s="106"/>
      <c r="O398" s="107"/>
      <c r="P398" s="26">
        <f t="shared" si="235"/>
        <v>-1458</v>
      </c>
      <c r="Q398" s="117"/>
      <c r="R398" s="117"/>
      <c r="S398" s="38">
        <f t="shared" si="236"/>
        <v>-1458</v>
      </c>
      <c r="T398" s="106"/>
      <c r="U398" s="116"/>
      <c r="V398" s="20">
        <f t="shared" si="237"/>
        <v>-1458</v>
      </c>
      <c r="W398" s="143"/>
    </row>
    <row r="399" spans="1:23" ht="15.75" customHeight="1">
      <c r="A399" s="114"/>
      <c r="B399" s="106"/>
      <c r="C399" s="107"/>
      <c r="D399" s="20">
        <f t="shared" si="231"/>
        <v>-1458</v>
      </c>
      <c r="E399" s="118"/>
      <c r="F399" s="117"/>
      <c r="G399" s="19">
        <f t="shared" si="232"/>
        <v>-1458</v>
      </c>
      <c r="H399" s="116"/>
      <c r="I399" s="107"/>
      <c r="J399" s="26">
        <f t="shared" si="233"/>
        <v>-1458</v>
      </c>
      <c r="K399" s="117"/>
      <c r="L399" s="117"/>
      <c r="M399" s="38">
        <f t="shared" si="234"/>
        <v>-1458</v>
      </c>
      <c r="N399" s="106"/>
      <c r="O399" s="107"/>
      <c r="P399" s="26">
        <f t="shared" si="235"/>
        <v>-1458</v>
      </c>
      <c r="Q399" s="117"/>
      <c r="R399" s="117"/>
      <c r="S399" s="38">
        <f t="shared" si="236"/>
        <v>-1458</v>
      </c>
      <c r="T399" s="106"/>
      <c r="U399" s="116"/>
      <c r="V399" s="20">
        <f t="shared" si="237"/>
        <v>-1458</v>
      </c>
      <c r="W399" s="143"/>
    </row>
    <row r="400" spans="1:23" ht="15.75" customHeight="1">
      <c r="A400" s="114"/>
      <c r="B400" s="122"/>
      <c r="C400" s="123"/>
      <c r="D400" s="20">
        <f t="shared" si="231"/>
        <v>-1458</v>
      </c>
      <c r="E400" s="118"/>
      <c r="F400" s="117"/>
      <c r="G400" s="19">
        <f t="shared" si="232"/>
        <v>-1458</v>
      </c>
      <c r="H400" s="124"/>
      <c r="I400" s="123"/>
      <c r="J400" s="26">
        <f t="shared" si="233"/>
        <v>-1458</v>
      </c>
      <c r="K400" s="117"/>
      <c r="L400" s="117"/>
      <c r="M400" s="38">
        <f t="shared" si="234"/>
        <v>-1458</v>
      </c>
      <c r="N400" s="122"/>
      <c r="O400" s="123"/>
      <c r="P400" s="26">
        <f t="shared" si="235"/>
        <v>-1458</v>
      </c>
      <c r="Q400" s="117"/>
      <c r="R400" s="117"/>
      <c r="S400" s="38">
        <f t="shared" si="236"/>
        <v>-1458</v>
      </c>
      <c r="T400" s="106"/>
      <c r="U400" s="116"/>
      <c r="V400" s="20">
        <f t="shared" si="237"/>
        <v>-1458</v>
      </c>
      <c r="W400" s="143"/>
    </row>
    <row r="401" spans="1:23" ht="15.75" customHeight="1">
      <c r="A401" s="114"/>
      <c r="B401" s="122"/>
      <c r="C401" s="123"/>
      <c r="D401" s="20">
        <f t="shared" si="231"/>
        <v>-1458</v>
      </c>
      <c r="E401" s="118"/>
      <c r="F401" s="117"/>
      <c r="G401" s="19">
        <f t="shared" si="232"/>
        <v>-1458</v>
      </c>
      <c r="H401" s="124"/>
      <c r="I401" s="123"/>
      <c r="J401" s="26">
        <f t="shared" si="233"/>
        <v>-1458</v>
      </c>
      <c r="K401" s="117"/>
      <c r="L401" s="117"/>
      <c r="M401" s="38">
        <f t="shared" si="234"/>
        <v>-1458</v>
      </c>
      <c r="N401" s="122"/>
      <c r="O401" s="123"/>
      <c r="P401" s="26">
        <f t="shared" si="235"/>
        <v>-1458</v>
      </c>
      <c r="Q401" s="117"/>
      <c r="R401" s="117"/>
      <c r="S401" s="38">
        <f t="shared" si="236"/>
        <v>-1458</v>
      </c>
      <c r="T401" s="122"/>
      <c r="U401" s="124"/>
      <c r="V401" s="20">
        <f t="shared" si="237"/>
        <v>-1458</v>
      </c>
      <c r="W401" s="143"/>
    </row>
    <row r="402" spans="1:23" ht="15.75" customHeight="1">
      <c r="A402" s="114"/>
      <c r="B402" s="122"/>
      <c r="C402" s="123"/>
      <c r="D402" s="49">
        <f t="shared" si="231"/>
        <v>-1458</v>
      </c>
      <c r="E402" s="154"/>
      <c r="F402" s="128"/>
      <c r="G402" s="29">
        <f t="shared" si="232"/>
        <v>-1458</v>
      </c>
      <c r="H402" s="124"/>
      <c r="I402" s="123"/>
      <c r="J402" s="39">
        <f t="shared" si="233"/>
        <v>-1458</v>
      </c>
      <c r="K402" s="128"/>
      <c r="L402" s="128"/>
      <c r="M402" s="40">
        <f t="shared" si="234"/>
        <v>-1458</v>
      </c>
      <c r="N402" s="122"/>
      <c r="O402" s="123"/>
      <c r="P402" s="39">
        <f t="shared" si="235"/>
        <v>-1458</v>
      </c>
      <c r="Q402" s="128"/>
      <c r="R402" s="128"/>
      <c r="S402" s="40">
        <f t="shared" si="236"/>
        <v>-1458</v>
      </c>
      <c r="T402" s="122"/>
      <c r="U402" s="123"/>
      <c r="V402" s="49">
        <f t="shared" si="237"/>
        <v>-1458</v>
      </c>
      <c r="W402" s="143"/>
    </row>
    <row r="403" spans="1:23" ht="15.75" customHeight="1">
      <c r="A403" s="87"/>
      <c r="B403" s="77">
        <f ca="1">IFERROR(__xludf.DUMMYFUNCTION("DATE(VALUE(LEFT($B$2,4)),VALUE(MID($B$2,6,2)),VALUE(RIGHT($B$2,2)))
+ (VALUE(REGEXEXTRACT(INDIRECT(""A""&amp;ROW()+1),""\d+""))-1)*7
+ INT((COLUMN()-COLUMN($B403))/3)
"),46621)</f>
        <v>46621</v>
      </c>
      <c r="C403" s="81"/>
      <c r="D403" s="82"/>
      <c r="E403" s="77">
        <f ca="1">IFERROR(__xludf.DUMMYFUNCTION("DATE(VALUE(LEFT($B$2,4)),VALUE(MID($B$2,6,2)),VALUE(RIGHT($B$2,2)))
+ (VALUE(REGEXEXTRACT(INDIRECT(""A""&amp;ROW()+1),""\d+""))-1)*7
+ INT((COLUMN()-COLUMN($B403))/3)
"),46622)</f>
        <v>46622</v>
      </c>
      <c r="F403" s="81"/>
      <c r="G403" s="82"/>
      <c r="H403" s="77">
        <f ca="1">IFERROR(__xludf.DUMMYFUNCTION("DATE(VALUE(LEFT($B$2,4)),VALUE(MID($B$2,6,2)),VALUE(RIGHT($B$2,2)))
+ (VALUE(REGEXEXTRACT(INDIRECT(""A""&amp;ROW()+1),""\d+""))-1)*7
+ INT((COLUMN()-COLUMN($B403))/3)
"),46623)</f>
        <v>46623</v>
      </c>
      <c r="I403" s="81"/>
      <c r="J403" s="82"/>
      <c r="K403" s="77">
        <f ca="1">IFERROR(__xludf.DUMMYFUNCTION("DATE(VALUE(LEFT($B$2,4)),VALUE(MID($B$2,6,2)),VALUE(RIGHT($B$2,2)))
+ (VALUE(REGEXEXTRACT(INDIRECT(""A""&amp;ROW()+1),""\d+""))-1)*7
+ INT((COLUMN()-COLUMN($B403))/3)
"),46624)</f>
        <v>46624</v>
      </c>
      <c r="L403" s="81"/>
      <c r="M403" s="82"/>
      <c r="N403" s="77">
        <f ca="1">IFERROR(__xludf.DUMMYFUNCTION("DATE(VALUE(LEFT($B$2,4)),VALUE(MID($B$2,6,2)),VALUE(RIGHT($B$2,2)))
+ (VALUE(REGEXEXTRACT(INDIRECT(""A""&amp;ROW()+1),""\d+""))-1)*7
+ INT((COLUMN()-COLUMN($B403))/3)
"),46625)</f>
        <v>46625</v>
      </c>
      <c r="O403" s="81"/>
      <c r="P403" s="82"/>
      <c r="Q403" s="77">
        <f ca="1">IFERROR(__xludf.DUMMYFUNCTION("DATE(VALUE(LEFT($B$2,4)),VALUE(MID($B$2,6,2)),VALUE(RIGHT($B$2,2)))
+ (VALUE(REGEXEXTRACT(INDIRECT(""A""&amp;ROW()+1),""\d+""))-1)*7
+ INT((COLUMN()-COLUMN($B403))/3)
"),46626)</f>
        <v>46626</v>
      </c>
      <c r="R403" s="81"/>
      <c r="S403" s="82"/>
      <c r="T403" s="77">
        <f ca="1">IFERROR(__xludf.DUMMYFUNCTION("DATE(VALUE(LEFT($B$2,4)),VALUE(MID($B$2,6,2)),VALUE(RIGHT($B$2,2)))
+ (VALUE(REGEXEXTRACT(INDIRECT(""A""&amp;ROW()+1),""\d+""))-1)*7
+ INT((COLUMN()-COLUMN($B403))/3)
"),46627)</f>
        <v>46627</v>
      </c>
      <c r="U403" s="81"/>
      <c r="V403" s="82"/>
      <c r="W403" s="52" t="s">
        <v>20</v>
      </c>
    </row>
    <row r="404" spans="1:23" ht="15.75" customHeight="1">
      <c r="A404" s="47" t="s">
        <v>163</v>
      </c>
      <c r="B404" s="113"/>
      <c r="C404" s="109"/>
      <c r="D404" s="50">
        <f>V402+C404</f>
        <v>-1458</v>
      </c>
      <c r="E404" s="112"/>
      <c r="F404" s="111"/>
      <c r="G404" s="17">
        <f>D414+F404</f>
        <v>-1458</v>
      </c>
      <c r="H404" s="132"/>
      <c r="I404" s="109"/>
      <c r="J404" s="42">
        <f>G414+I404</f>
        <v>-1458</v>
      </c>
      <c r="K404" s="112"/>
      <c r="L404" s="111"/>
      <c r="M404" s="18">
        <f>J414+L404</f>
        <v>-1458</v>
      </c>
      <c r="N404" s="113"/>
      <c r="O404" s="109"/>
      <c r="P404" s="35">
        <f>M414+O404</f>
        <v>-1458</v>
      </c>
      <c r="Q404" s="112"/>
      <c r="R404" s="111"/>
      <c r="S404" s="18">
        <f>P414+R404</f>
        <v>-1458</v>
      </c>
      <c r="T404" s="173"/>
      <c r="U404" s="173"/>
      <c r="V404" s="50">
        <f>S414+U404</f>
        <v>-1458</v>
      </c>
      <c r="W404" s="172"/>
    </row>
    <row r="405" spans="1:23" ht="15.75" customHeight="1">
      <c r="A405" s="114"/>
      <c r="B405" s="118"/>
      <c r="C405" s="117"/>
      <c r="D405" s="45">
        <f t="shared" ref="D405:D414" si="238">D404+C405</f>
        <v>-1458</v>
      </c>
      <c r="E405" s="106"/>
      <c r="F405" s="107"/>
      <c r="G405" s="26">
        <f t="shared" ref="G405:G414" si="239">G404+F405</f>
        <v>-1458</v>
      </c>
      <c r="H405" s="133"/>
      <c r="I405" s="117"/>
      <c r="J405" s="19">
        <f t="shared" ref="J405:J414" si="240">J404+I405</f>
        <v>-1458</v>
      </c>
      <c r="K405" s="106"/>
      <c r="L405" s="107"/>
      <c r="M405" s="26">
        <f t="shared" ref="M405:M414" si="241">M404+L405</f>
        <v>-1458</v>
      </c>
      <c r="N405" s="118"/>
      <c r="O405" s="117"/>
      <c r="P405" s="38">
        <f t="shared" ref="P405:P414" si="242">P404+O405</f>
        <v>-1458</v>
      </c>
      <c r="Q405" s="106"/>
      <c r="R405" s="107"/>
      <c r="S405" s="26">
        <f t="shared" ref="S405:S414" si="243">S404+R405</f>
        <v>-1458</v>
      </c>
      <c r="T405" s="136"/>
      <c r="U405" s="136"/>
      <c r="V405" s="45">
        <f t="shared" ref="V405:V414" si="244">V404+U405</f>
        <v>-1458</v>
      </c>
      <c r="W405" s="143"/>
    </row>
    <row r="406" spans="1:23" ht="15.75" customHeight="1">
      <c r="A406" s="114"/>
      <c r="B406" s="118"/>
      <c r="C406" s="117"/>
      <c r="D406" s="45">
        <f t="shared" si="238"/>
        <v>-1458</v>
      </c>
      <c r="E406" s="106"/>
      <c r="F406" s="107"/>
      <c r="G406" s="26">
        <f t="shared" si="239"/>
        <v>-1458</v>
      </c>
      <c r="H406" s="133"/>
      <c r="I406" s="117"/>
      <c r="J406" s="19">
        <f t="shared" si="240"/>
        <v>-1458</v>
      </c>
      <c r="K406" s="106"/>
      <c r="L406" s="107"/>
      <c r="M406" s="26">
        <f t="shared" si="241"/>
        <v>-1458</v>
      </c>
      <c r="N406" s="117"/>
      <c r="O406" s="117"/>
      <c r="P406" s="38">
        <f t="shared" si="242"/>
        <v>-1458</v>
      </c>
      <c r="Q406" s="106"/>
      <c r="R406" s="107"/>
      <c r="S406" s="26">
        <f t="shared" si="243"/>
        <v>-1458</v>
      </c>
      <c r="T406" s="136"/>
      <c r="U406" s="136"/>
      <c r="V406" s="45">
        <f t="shared" si="244"/>
        <v>-1458</v>
      </c>
      <c r="W406" s="143"/>
    </row>
    <row r="407" spans="1:23" ht="15.75" customHeight="1">
      <c r="A407" s="114"/>
      <c r="B407" s="118"/>
      <c r="C407" s="117"/>
      <c r="D407" s="45">
        <f t="shared" si="238"/>
        <v>-1458</v>
      </c>
      <c r="E407" s="106"/>
      <c r="F407" s="107"/>
      <c r="G407" s="26">
        <f t="shared" si="239"/>
        <v>-1458</v>
      </c>
      <c r="H407" s="133"/>
      <c r="I407" s="117"/>
      <c r="J407" s="19">
        <f t="shared" si="240"/>
        <v>-1458</v>
      </c>
      <c r="K407" s="106"/>
      <c r="L407" s="107"/>
      <c r="M407" s="26">
        <f t="shared" si="241"/>
        <v>-1458</v>
      </c>
      <c r="N407" s="117"/>
      <c r="O407" s="117"/>
      <c r="P407" s="38">
        <f t="shared" si="242"/>
        <v>-1458</v>
      </c>
      <c r="Q407" s="106"/>
      <c r="R407" s="107"/>
      <c r="S407" s="26">
        <f t="shared" si="243"/>
        <v>-1458</v>
      </c>
      <c r="T407" s="136"/>
      <c r="U407" s="136"/>
      <c r="V407" s="45">
        <f t="shared" si="244"/>
        <v>-1458</v>
      </c>
      <c r="W407" s="143"/>
    </row>
    <row r="408" spans="1:23" ht="15.75" customHeight="1">
      <c r="A408" s="114"/>
      <c r="B408" s="118"/>
      <c r="C408" s="117"/>
      <c r="D408" s="45">
        <f t="shared" si="238"/>
        <v>-1458</v>
      </c>
      <c r="E408" s="106"/>
      <c r="F408" s="107"/>
      <c r="G408" s="26">
        <f t="shared" si="239"/>
        <v>-1458</v>
      </c>
      <c r="H408" s="133"/>
      <c r="I408" s="117"/>
      <c r="J408" s="19">
        <f t="shared" si="240"/>
        <v>-1458</v>
      </c>
      <c r="K408" s="106"/>
      <c r="L408" s="107"/>
      <c r="M408" s="26">
        <f t="shared" si="241"/>
        <v>-1458</v>
      </c>
      <c r="N408" s="117"/>
      <c r="O408" s="117"/>
      <c r="P408" s="38">
        <f t="shared" si="242"/>
        <v>-1458</v>
      </c>
      <c r="Q408" s="106"/>
      <c r="R408" s="107"/>
      <c r="S408" s="26">
        <f t="shared" si="243"/>
        <v>-1458</v>
      </c>
      <c r="T408" s="136"/>
      <c r="U408" s="136"/>
      <c r="V408" s="45">
        <f t="shared" si="244"/>
        <v>-1458</v>
      </c>
      <c r="W408" s="143"/>
    </row>
    <row r="409" spans="1:23" ht="15.75" customHeight="1">
      <c r="A409" s="114"/>
      <c r="B409" s="118"/>
      <c r="C409" s="117"/>
      <c r="D409" s="45">
        <f t="shared" si="238"/>
        <v>-1458</v>
      </c>
      <c r="E409" s="106"/>
      <c r="F409" s="107"/>
      <c r="G409" s="26">
        <f t="shared" si="239"/>
        <v>-1458</v>
      </c>
      <c r="H409" s="133"/>
      <c r="I409" s="117"/>
      <c r="J409" s="19">
        <f t="shared" si="240"/>
        <v>-1458</v>
      </c>
      <c r="K409" s="106"/>
      <c r="L409" s="107"/>
      <c r="M409" s="26">
        <f t="shared" si="241"/>
        <v>-1458</v>
      </c>
      <c r="N409" s="117"/>
      <c r="O409" s="117"/>
      <c r="P409" s="38">
        <f t="shared" si="242"/>
        <v>-1458</v>
      </c>
      <c r="Q409" s="106"/>
      <c r="R409" s="107"/>
      <c r="S409" s="26">
        <f t="shared" si="243"/>
        <v>-1458</v>
      </c>
      <c r="T409" s="136"/>
      <c r="U409" s="136"/>
      <c r="V409" s="45">
        <f t="shared" si="244"/>
        <v>-1458</v>
      </c>
      <c r="W409" s="143"/>
    </row>
    <row r="410" spans="1:23" ht="15.75" customHeight="1">
      <c r="A410" s="114"/>
      <c r="B410" s="117"/>
      <c r="C410" s="117"/>
      <c r="D410" s="45">
        <f t="shared" si="238"/>
        <v>-1458</v>
      </c>
      <c r="E410" s="106"/>
      <c r="F410" s="107"/>
      <c r="G410" s="26">
        <f t="shared" si="239"/>
        <v>-1458</v>
      </c>
      <c r="H410" s="133"/>
      <c r="I410" s="117"/>
      <c r="J410" s="19">
        <f t="shared" si="240"/>
        <v>-1458</v>
      </c>
      <c r="K410" s="106"/>
      <c r="L410" s="107"/>
      <c r="M410" s="26">
        <f t="shared" si="241"/>
        <v>-1458</v>
      </c>
      <c r="N410" s="117"/>
      <c r="O410" s="117"/>
      <c r="P410" s="38">
        <f t="shared" si="242"/>
        <v>-1458</v>
      </c>
      <c r="Q410" s="106"/>
      <c r="R410" s="107"/>
      <c r="S410" s="26">
        <f t="shared" si="243"/>
        <v>-1458</v>
      </c>
      <c r="T410" s="136"/>
      <c r="U410" s="136"/>
      <c r="V410" s="45">
        <f t="shared" si="244"/>
        <v>-1458</v>
      </c>
      <c r="W410" s="143"/>
    </row>
    <row r="411" spans="1:23" ht="15.75" customHeight="1">
      <c r="A411" s="114"/>
      <c r="B411" s="117"/>
      <c r="C411" s="117"/>
      <c r="D411" s="45">
        <f t="shared" si="238"/>
        <v>-1458</v>
      </c>
      <c r="E411" s="106"/>
      <c r="F411" s="107"/>
      <c r="G411" s="26">
        <f t="shared" si="239"/>
        <v>-1458</v>
      </c>
      <c r="H411" s="133"/>
      <c r="I411" s="117"/>
      <c r="J411" s="19">
        <f t="shared" si="240"/>
        <v>-1458</v>
      </c>
      <c r="K411" s="106"/>
      <c r="L411" s="107"/>
      <c r="M411" s="26">
        <f t="shared" si="241"/>
        <v>-1458</v>
      </c>
      <c r="N411" s="117"/>
      <c r="O411" s="117"/>
      <c r="P411" s="38">
        <f t="shared" si="242"/>
        <v>-1458</v>
      </c>
      <c r="Q411" s="106"/>
      <c r="R411" s="107"/>
      <c r="S411" s="26">
        <f t="shared" si="243"/>
        <v>-1458</v>
      </c>
      <c r="T411" s="136"/>
      <c r="U411" s="136"/>
      <c r="V411" s="45">
        <f t="shared" si="244"/>
        <v>-1458</v>
      </c>
      <c r="W411" s="143"/>
    </row>
    <row r="412" spans="1:23" ht="15.75" customHeight="1">
      <c r="A412" s="114"/>
      <c r="B412" s="117"/>
      <c r="C412" s="117"/>
      <c r="D412" s="45">
        <f t="shared" si="238"/>
        <v>-1458</v>
      </c>
      <c r="E412" s="106"/>
      <c r="F412" s="107"/>
      <c r="G412" s="26">
        <f t="shared" si="239"/>
        <v>-1458</v>
      </c>
      <c r="H412" s="133"/>
      <c r="I412" s="117"/>
      <c r="J412" s="19">
        <f t="shared" si="240"/>
        <v>-1458</v>
      </c>
      <c r="K412" s="106"/>
      <c r="L412" s="107"/>
      <c r="M412" s="26">
        <f t="shared" si="241"/>
        <v>-1458</v>
      </c>
      <c r="N412" s="117"/>
      <c r="O412" s="117"/>
      <c r="P412" s="38">
        <f t="shared" si="242"/>
        <v>-1458</v>
      </c>
      <c r="Q412" s="106"/>
      <c r="R412" s="107"/>
      <c r="S412" s="26">
        <f t="shared" si="243"/>
        <v>-1458</v>
      </c>
      <c r="T412" s="136"/>
      <c r="U412" s="136"/>
      <c r="V412" s="45">
        <f t="shared" si="244"/>
        <v>-1458</v>
      </c>
      <c r="W412" s="143"/>
    </row>
    <row r="413" spans="1:23" ht="15.75" customHeight="1">
      <c r="A413" s="114"/>
      <c r="B413" s="117"/>
      <c r="C413" s="117"/>
      <c r="D413" s="45">
        <f t="shared" si="238"/>
        <v>-1458</v>
      </c>
      <c r="E413" s="122"/>
      <c r="F413" s="123"/>
      <c r="G413" s="26">
        <f t="shared" si="239"/>
        <v>-1458</v>
      </c>
      <c r="H413" s="133"/>
      <c r="I413" s="117"/>
      <c r="J413" s="19">
        <f t="shared" si="240"/>
        <v>-1458</v>
      </c>
      <c r="K413" s="122"/>
      <c r="L413" s="123"/>
      <c r="M413" s="26">
        <f t="shared" si="241"/>
        <v>-1458</v>
      </c>
      <c r="N413" s="117"/>
      <c r="O413" s="117"/>
      <c r="P413" s="38">
        <f t="shared" si="242"/>
        <v>-1458</v>
      </c>
      <c r="Q413" s="122"/>
      <c r="R413" s="123"/>
      <c r="S413" s="26">
        <f t="shared" si="243"/>
        <v>-1458</v>
      </c>
      <c r="T413" s="136"/>
      <c r="U413" s="136"/>
      <c r="V413" s="45">
        <f t="shared" si="244"/>
        <v>-1458</v>
      </c>
      <c r="W413" s="143"/>
    </row>
    <row r="414" spans="1:23" ht="15.75" customHeight="1">
      <c r="A414" s="114"/>
      <c r="B414" s="128"/>
      <c r="C414" s="128"/>
      <c r="D414" s="46">
        <f t="shared" si="238"/>
        <v>-1458</v>
      </c>
      <c r="E414" s="122"/>
      <c r="F414" s="123"/>
      <c r="G414" s="39">
        <f t="shared" si="239"/>
        <v>-1458</v>
      </c>
      <c r="H414" s="140"/>
      <c r="I414" s="128"/>
      <c r="J414" s="29">
        <f t="shared" si="240"/>
        <v>-1458</v>
      </c>
      <c r="K414" s="122"/>
      <c r="L414" s="123"/>
      <c r="M414" s="39">
        <f t="shared" si="241"/>
        <v>-1458</v>
      </c>
      <c r="N414" s="128"/>
      <c r="O414" s="128"/>
      <c r="P414" s="40">
        <f t="shared" si="242"/>
        <v>-1458</v>
      </c>
      <c r="Q414" s="122"/>
      <c r="R414" s="123"/>
      <c r="S414" s="39">
        <f t="shared" si="243"/>
        <v>-1458</v>
      </c>
      <c r="T414" s="141"/>
      <c r="U414" s="141"/>
      <c r="V414" s="46">
        <f t="shared" si="244"/>
        <v>-1458</v>
      </c>
      <c r="W414" s="143"/>
    </row>
    <row r="415" spans="1:23" ht="15.75" customHeight="1">
      <c r="A415" s="87"/>
      <c r="B415" s="77">
        <f ca="1">IFERROR(__xludf.DUMMYFUNCTION("DATE(VALUE(LEFT($B$2,4)),VALUE(MID($B$2,6,2)),VALUE(RIGHT($B$2,2)))
+ (VALUE(REGEXEXTRACT(INDIRECT(""A""&amp;ROW()+1),""\d+""))-1)*7
+ INT((COLUMN()-COLUMN($B415))/3)
"),46628)</f>
        <v>46628</v>
      </c>
      <c r="C415" s="81"/>
      <c r="D415" s="82"/>
      <c r="E415" s="77">
        <f ca="1">IFERROR(__xludf.DUMMYFUNCTION("DATE(VALUE(LEFT($B$2,4)),VALUE(MID($B$2,6,2)),VALUE(RIGHT($B$2,2)))
+ (VALUE(REGEXEXTRACT(INDIRECT(""A""&amp;ROW()+1),""\d+""))-1)*7
+ INT((COLUMN()-COLUMN($B415))/3)
"),46629)</f>
        <v>46629</v>
      </c>
      <c r="F415" s="81"/>
      <c r="G415" s="82"/>
      <c r="H415" s="77">
        <f ca="1">IFERROR(__xludf.DUMMYFUNCTION("DATE(VALUE(LEFT($B$2,4)),VALUE(MID($B$2,6,2)),VALUE(RIGHT($B$2,2)))
+ (VALUE(REGEXEXTRACT(INDIRECT(""A""&amp;ROW()+1),""\d+""))-1)*7
+ INT((COLUMN()-COLUMN($B415))/3)
"),46630)</f>
        <v>46630</v>
      </c>
      <c r="I415" s="81"/>
      <c r="J415" s="82"/>
      <c r="K415" s="77">
        <f ca="1">IFERROR(__xludf.DUMMYFUNCTION("DATE(VALUE(LEFT($B$2,4)),VALUE(MID($B$2,6,2)),VALUE(RIGHT($B$2,2)))
+ (VALUE(REGEXEXTRACT(INDIRECT(""A""&amp;ROW()+1),""\d+""))-1)*7
+ INT((COLUMN()-COLUMN($B415))/3)
"),46631)</f>
        <v>46631</v>
      </c>
      <c r="L415" s="81"/>
      <c r="M415" s="82"/>
      <c r="N415" s="77">
        <f ca="1">IFERROR(__xludf.DUMMYFUNCTION("DATE(VALUE(LEFT($B$2,4)),VALUE(MID($B$2,6,2)),VALUE(RIGHT($B$2,2)))
+ (VALUE(REGEXEXTRACT(INDIRECT(""A""&amp;ROW()+1),""\d+""))-1)*7
+ INT((COLUMN()-COLUMN($B415))/3)
"),46632)</f>
        <v>46632</v>
      </c>
      <c r="O415" s="81"/>
      <c r="P415" s="82"/>
      <c r="Q415" s="77">
        <f ca="1">IFERROR(__xludf.DUMMYFUNCTION("DATE(VALUE(LEFT($B$2,4)),VALUE(MID($B$2,6,2)),VALUE(RIGHT($B$2,2)))
+ (VALUE(REGEXEXTRACT(INDIRECT(""A""&amp;ROW()+1),""\d+""))-1)*7
+ INT((COLUMN()-COLUMN($B415))/3)
"),46633)</f>
        <v>46633</v>
      </c>
      <c r="R415" s="81"/>
      <c r="S415" s="82"/>
      <c r="T415" s="77">
        <f ca="1">IFERROR(__xludf.DUMMYFUNCTION("DATE(VALUE(LEFT($B$2,4)),VALUE(MID($B$2,6,2)),VALUE(RIGHT($B$2,2)))
+ (VALUE(REGEXEXTRACT(INDIRECT(""A""&amp;ROW()+1),""\d+""))-1)*7
+ INT((COLUMN()-COLUMN($B415))/3)
"),46634)</f>
        <v>46634</v>
      </c>
      <c r="U415" s="81"/>
      <c r="V415" s="82"/>
      <c r="W415" s="143"/>
    </row>
    <row r="416" spans="1:23" ht="15.75" customHeight="1">
      <c r="A416" s="51" t="s">
        <v>164</v>
      </c>
      <c r="B416" s="112"/>
      <c r="C416" s="111"/>
      <c r="D416" s="17">
        <f>V414+C416</f>
        <v>-1458</v>
      </c>
      <c r="E416" s="109"/>
      <c r="F416" s="109"/>
      <c r="G416" s="42">
        <f>D426+F416</f>
        <v>-1458</v>
      </c>
      <c r="H416" s="112"/>
      <c r="I416" s="111"/>
      <c r="J416" s="17">
        <f>G426+I416</f>
        <v>-1458</v>
      </c>
      <c r="K416" s="109"/>
      <c r="L416" s="109"/>
      <c r="M416" s="35">
        <f>J426+L416</f>
        <v>-1458</v>
      </c>
      <c r="N416" s="112"/>
      <c r="O416" s="111"/>
      <c r="P416" s="17">
        <f>M426+O416</f>
        <v>-1458</v>
      </c>
      <c r="Q416" s="109"/>
      <c r="R416" s="109"/>
      <c r="S416" s="35">
        <f>P426+R416</f>
        <v>-1458</v>
      </c>
      <c r="T416" s="112"/>
      <c r="U416" s="111"/>
      <c r="V416" s="48">
        <f>S426+U416</f>
        <v>-1458</v>
      </c>
      <c r="W416" s="143"/>
    </row>
    <row r="417" spans="1:23" ht="15.75" customHeight="1">
      <c r="A417" s="114"/>
      <c r="B417" s="106"/>
      <c r="C417" s="107"/>
      <c r="D417" s="26">
        <f t="shared" ref="D417:D426" si="245">D416+C417</f>
        <v>-1458</v>
      </c>
      <c r="E417" s="117"/>
      <c r="F417" s="117"/>
      <c r="G417" s="19">
        <f t="shared" ref="G417:G426" si="246">G416+F417</f>
        <v>-1458</v>
      </c>
      <c r="H417" s="106"/>
      <c r="I417" s="107"/>
      <c r="J417" s="26">
        <f t="shared" ref="J417:J426" si="247">J416+I417</f>
        <v>-1458</v>
      </c>
      <c r="K417" s="117"/>
      <c r="L417" s="117"/>
      <c r="M417" s="38">
        <f t="shared" ref="M417:M426" si="248">M416+L417</f>
        <v>-1458</v>
      </c>
      <c r="N417" s="106"/>
      <c r="O417" s="107"/>
      <c r="P417" s="26">
        <f t="shared" ref="P417:P426" si="249">P416+O417</f>
        <v>-1458</v>
      </c>
      <c r="Q417" s="117"/>
      <c r="R417" s="117"/>
      <c r="S417" s="38">
        <f t="shared" ref="S417:S426" si="250">S416+R417</f>
        <v>-1458</v>
      </c>
      <c r="T417" s="106"/>
      <c r="U417" s="107"/>
      <c r="V417" s="20">
        <f t="shared" ref="V417:V426" si="251">V416+U417</f>
        <v>-1458</v>
      </c>
      <c r="W417" s="143"/>
    </row>
    <row r="418" spans="1:23" ht="15.75" customHeight="1">
      <c r="A418" s="114"/>
      <c r="B418" s="106"/>
      <c r="C418" s="107"/>
      <c r="D418" s="26">
        <f t="shared" si="245"/>
        <v>-1458</v>
      </c>
      <c r="E418" s="117"/>
      <c r="F418" s="117"/>
      <c r="G418" s="19">
        <f t="shared" si="246"/>
        <v>-1458</v>
      </c>
      <c r="H418" s="106"/>
      <c r="I418" s="107"/>
      <c r="J418" s="26">
        <f t="shared" si="247"/>
        <v>-1458</v>
      </c>
      <c r="K418" s="117"/>
      <c r="L418" s="117"/>
      <c r="M418" s="38">
        <f t="shared" si="248"/>
        <v>-1458</v>
      </c>
      <c r="N418" s="106"/>
      <c r="O418" s="107"/>
      <c r="P418" s="26">
        <f t="shared" si="249"/>
        <v>-1458</v>
      </c>
      <c r="Q418" s="117"/>
      <c r="R418" s="117"/>
      <c r="S418" s="38">
        <f t="shared" si="250"/>
        <v>-1458</v>
      </c>
      <c r="T418" s="106"/>
      <c r="U418" s="116"/>
      <c r="V418" s="20">
        <f t="shared" si="251"/>
        <v>-1458</v>
      </c>
      <c r="W418" s="143"/>
    </row>
    <row r="419" spans="1:23" ht="15.75" customHeight="1">
      <c r="A419" s="114"/>
      <c r="B419" s="106"/>
      <c r="C419" s="107"/>
      <c r="D419" s="26">
        <f t="shared" si="245"/>
        <v>-1458</v>
      </c>
      <c r="E419" s="117"/>
      <c r="F419" s="117"/>
      <c r="G419" s="19">
        <f t="shared" si="246"/>
        <v>-1458</v>
      </c>
      <c r="H419" s="106"/>
      <c r="I419" s="107"/>
      <c r="J419" s="26">
        <f t="shared" si="247"/>
        <v>-1458</v>
      </c>
      <c r="K419" s="117"/>
      <c r="L419" s="117"/>
      <c r="M419" s="38">
        <f t="shared" si="248"/>
        <v>-1458</v>
      </c>
      <c r="N419" s="106"/>
      <c r="O419" s="107"/>
      <c r="P419" s="26">
        <f t="shared" si="249"/>
        <v>-1458</v>
      </c>
      <c r="Q419" s="117"/>
      <c r="R419" s="117"/>
      <c r="S419" s="38">
        <f t="shared" si="250"/>
        <v>-1458</v>
      </c>
      <c r="T419" s="106"/>
      <c r="U419" s="116"/>
      <c r="V419" s="20">
        <f t="shared" si="251"/>
        <v>-1458</v>
      </c>
      <c r="W419" s="143"/>
    </row>
    <row r="420" spans="1:23" ht="15.75" customHeight="1">
      <c r="A420" s="114"/>
      <c r="B420" s="106"/>
      <c r="C420" s="107"/>
      <c r="D420" s="26">
        <f t="shared" si="245"/>
        <v>-1458</v>
      </c>
      <c r="E420" s="117"/>
      <c r="F420" s="117"/>
      <c r="G420" s="19">
        <f t="shared" si="246"/>
        <v>-1458</v>
      </c>
      <c r="H420" s="106"/>
      <c r="I420" s="107"/>
      <c r="J420" s="26">
        <f t="shared" si="247"/>
        <v>-1458</v>
      </c>
      <c r="K420" s="117"/>
      <c r="L420" s="117"/>
      <c r="M420" s="38">
        <f t="shared" si="248"/>
        <v>-1458</v>
      </c>
      <c r="N420" s="106"/>
      <c r="O420" s="107"/>
      <c r="P420" s="26">
        <f t="shared" si="249"/>
        <v>-1458</v>
      </c>
      <c r="Q420" s="117"/>
      <c r="R420" s="117"/>
      <c r="S420" s="38">
        <f t="shared" si="250"/>
        <v>-1458</v>
      </c>
      <c r="T420" s="106"/>
      <c r="U420" s="116"/>
      <c r="V420" s="20">
        <f t="shared" si="251"/>
        <v>-1458</v>
      </c>
      <c r="W420" s="143"/>
    </row>
    <row r="421" spans="1:23" ht="15.75" customHeight="1">
      <c r="A421" s="114"/>
      <c r="B421" s="106"/>
      <c r="C421" s="107"/>
      <c r="D421" s="26">
        <f t="shared" si="245"/>
        <v>-1458</v>
      </c>
      <c r="E421" s="117"/>
      <c r="F421" s="117"/>
      <c r="G421" s="19">
        <f t="shared" si="246"/>
        <v>-1458</v>
      </c>
      <c r="H421" s="106"/>
      <c r="I421" s="107"/>
      <c r="J421" s="26">
        <f t="shared" si="247"/>
        <v>-1458</v>
      </c>
      <c r="K421" s="117"/>
      <c r="L421" s="117"/>
      <c r="M421" s="38">
        <f t="shared" si="248"/>
        <v>-1458</v>
      </c>
      <c r="N421" s="106"/>
      <c r="O421" s="107"/>
      <c r="P421" s="26">
        <f t="shared" si="249"/>
        <v>-1458</v>
      </c>
      <c r="Q421" s="117"/>
      <c r="R421" s="117"/>
      <c r="S421" s="38">
        <f t="shared" si="250"/>
        <v>-1458</v>
      </c>
      <c r="T421" s="106"/>
      <c r="U421" s="116"/>
      <c r="V421" s="20">
        <f t="shared" si="251"/>
        <v>-1458</v>
      </c>
      <c r="W421" s="143"/>
    </row>
    <row r="422" spans="1:23" ht="15.75" customHeight="1">
      <c r="A422" s="114"/>
      <c r="B422" s="106"/>
      <c r="C422" s="107"/>
      <c r="D422" s="26">
        <f t="shared" si="245"/>
        <v>-1458</v>
      </c>
      <c r="E422" s="117"/>
      <c r="F422" s="117"/>
      <c r="G422" s="19">
        <f t="shared" si="246"/>
        <v>-1458</v>
      </c>
      <c r="H422" s="106"/>
      <c r="I422" s="107"/>
      <c r="J422" s="26">
        <f t="shared" si="247"/>
        <v>-1458</v>
      </c>
      <c r="K422" s="117"/>
      <c r="L422" s="117"/>
      <c r="M422" s="38">
        <f t="shared" si="248"/>
        <v>-1458</v>
      </c>
      <c r="N422" s="106"/>
      <c r="O422" s="107"/>
      <c r="P422" s="26">
        <f t="shared" si="249"/>
        <v>-1458</v>
      </c>
      <c r="Q422" s="117"/>
      <c r="R422" s="117"/>
      <c r="S422" s="38">
        <f t="shared" si="250"/>
        <v>-1458</v>
      </c>
      <c r="T422" s="106"/>
      <c r="U422" s="116"/>
      <c r="V422" s="20">
        <f t="shared" si="251"/>
        <v>-1458</v>
      </c>
      <c r="W422" s="143"/>
    </row>
    <row r="423" spans="1:23" ht="15.75" customHeight="1">
      <c r="A423" s="114"/>
      <c r="B423" s="106"/>
      <c r="C423" s="107"/>
      <c r="D423" s="26">
        <f t="shared" si="245"/>
        <v>-1458</v>
      </c>
      <c r="E423" s="117"/>
      <c r="F423" s="117"/>
      <c r="G423" s="19">
        <f t="shared" si="246"/>
        <v>-1458</v>
      </c>
      <c r="H423" s="106"/>
      <c r="I423" s="107"/>
      <c r="J423" s="26">
        <f t="shared" si="247"/>
        <v>-1458</v>
      </c>
      <c r="K423" s="117"/>
      <c r="L423" s="117"/>
      <c r="M423" s="38">
        <f t="shared" si="248"/>
        <v>-1458</v>
      </c>
      <c r="N423" s="106"/>
      <c r="O423" s="107"/>
      <c r="P423" s="26">
        <f t="shared" si="249"/>
        <v>-1458</v>
      </c>
      <c r="Q423" s="117"/>
      <c r="R423" s="117"/>
      <c r="S423" s="38">
        <f t="shared" si="250"/>
        <v>-1458</v>
      </c>
      <c r="T423" s="106"/>
      <c r="U423" s="116"/>
      <c r="V423" s="20">
        <f t="shared" si="251"/>
        <v>-1458</v>
      </c>
      <c r="W423" s="143"/>
    </row>
    <row r="424" spans="1:23" ht="15.75" customHeight="1">
      <c r="A424" s="114"/>
      <c r="B424" s="122"/>
      <c r="C424" s="123"/>
      <c r="D424" s="26">
        <f t="shared" si="245"/>
        <v>-1458</v>
      </c>
      <c r="E424" s="117"/>
      <c r="F424" s="117"/>
      <c r="G424" s="19">
        <f t="shared" si="246"/>
        <v>-1458</v>
      </c>
      <c r="H424" s="122"/>
      <c r="I424" s="123"/>
      <c r="J424" s="26">
        <f t="shared" si="247"/>
        <v>-1458</v>
      </c>
      <c r="K424" s="117"/>
      <c r="L424" s="117"/>
      <c r="M424" s="38">
        <f t="shared" si="248"/>
        <v>-1458</v>
      </c>
      <c r="N424" s="122"/>
      <c r="O424" s="123"/>
      <c r="P424" s="26">
        <f t="shared" si="249"/>
        <v>-1458</v>
      </c>
      <c r="Q424" s="117"/>
      <c r="R424" s="117"/>
      <c r="S424" s="38">
        <f t="shared" si="250"/>
        <v>-1458</v>
      </c>
      <c r="T424" s="106"/>
      <c r="U424" s="116"/>
      <c r="V424" s="20">
        <f t="shared" si="251"/>
        <v>-1458</v>
      </c>
      <c r="W424" s="143"/>
    </row>
    <row r="425" spans="1:23" ht="15.75" customHeight="1">
      <c r="A425" s="114"/>
      <c r="B425" s="122"/>
      <c r="C425" s="123"/>
      <c r="D425" s="26">
        <f t="shared" si="245"/>
        <v>-1458</v>
      </c>
      <c r="E425" s="117"/>
      <c r="F425" s="117"/>
      <c r="G425" s="19">
        <f t="shared" si="246"/>
        <v>-1458</v>
      </c>
      <c r="H425" s="122"/>
      <c r="I425" s="123"/>
      <c r="J425" s="26">
        <f t="shared" si="247"/>
        <v>-1458</v>
      </c>
      <c r="K425" s="117"/>
      <c r="L425" s="117"/>
      <c r="M425" s="38">
        <f t="shared" si="248"/>
        <v>-1458</v>
      </c>
      <c r="N425" s="122"/>
      <c r="O425" s="123"/>
      <c r="P425" s="26">
        <f t="shared" si="249"/>
        <v>-1458</v>
      </c>
      <c r="Q425" s="117"/>
      <c r="R425" s="117"/>
      <c r="S425" s="38">
        <f t="shared" si="250"/>
        <v>-1458</v>
      </c>
      <c r="T425" s="122"/>
      <c r="U425" s="124"/>
      <c r="V425" s="20">
        <f t="shared" si="251"/>
        <v>-1458</v>
      </c>
      <c r="W425" s="143"/>
    </row>
    <row r="426" spans="1:23" ht="15.75" customHeight="1">
      <c r="A426" s="114"/>
      <c r="B426" s="122"/>
      <c r="C426" s="123"/>
      <c r="D426" s="39">
        <f t="shared" si="245"/>
        <v>-1458</v>
      </c>
      <c r="E426" s="128"/>
      <c r="F426" s="128"/>
      <c r="G426" s="29">
        <f t="shared" si="246"/>
        <v>-1458</v>
      </c>
      <c r="H426" s="122"/>
      <c r="I426" s="123"/>
      <c r="J426" s="39">
        <f t="shared" si="247"/>
        <v>-1458</v>
      </c>
      <c r="K426" s="128"/>
      <c r="L426" s="128"/>
      <c r="M426" s="40">
        <f t="shared" si="248"/>
        <v>-1458</v>
      </c>
      <c r="N426" s="122"/>
      <c r="O426" s="123"/>
      <c r="P426" s="39">
        <f t="shared" si="249"/>
        <v>-1458</v>
      </c>
      <c r="Q426" s="128"/>
      <c r="R426" s="128"/>
      <c r="S426" s="40">
        <f t="shared" si="250"/>
        <v>-1458</v>
      </c>
      <c r="T426" s="122"/>
      <c r="U426" s="123"/>
      <c r="V426" s="49">
        <f t="shared" si="251"/>
        <v>-1458</v>
      </c>
      <c r="W426" s="143"/>
    </row>
    <row r="427" spans="1:23" ht="15.75" customHeight="1">
      <c r="A427" s="87"/>
      <c r="B427" s="77">
        <f ca="1">IFERROR(__xludf.DUMMYFUNCTION("DATE(VALUE(LEFT($B$2,4)),VALUE(MID($B$2,6,2)),VALUE(RIGHT($B$2,2)))
+ (VALUE(REGEXEXTRACT(INDIRECT(""A""&amp;ROW()+1),""\d+""))-1)*7
+ INT((COLUMN()-COLUMN($B427))/3)
"),46635)</f>
        <v>46635</v>
      </c>
      <c r="C427" s="81"/>
      <c r="D427" s="82"/>
      <c r="E427" s="77">
        <f ca="1">IFERROR(__xludf.DUMMYFUNCTION("DATE(VALUE(LEFT($B$2,4)),VALUE(MID($B$2,6,2)),VALUE(RIGHT($B$2,2)))
+ (VALUE(REGEXEXTRACT(INDIRECT(""A""&amp;ROW()+1),""\d+""))-1)*7
+ INT((COLUMN()-COLUMN($B427))/3)
"),46636)</f>
        <v>46636</v>
      </c>
      <c r="F427" s="81"/>
      <c r="G427" s="82"/>
      <c r="H427" s="77">
        <f ca="1">IFERROR(__xludf.DUMMYFUNCTION("DATE(VALUE(LEFT($B$2,4)),VALUE(MID($B$2,6,2)),VALUE(RIGHT($B$2,2)))
+ (VALUE(REGEXEXTRACT(INDIRECT(""A""&amp;ROW()+1),""\d+""))-1)*7
+ INT((COLUMN()-COLUMN($B427))/3)
"),46637)</f>
        <v>46637</v>
      </c>
      <c r="I427" s="81"/>
      <c r="J427" s="82"/>
      <c r="K427" s="77">
        <f ca="1">IFERROR(__xludf.DUMMYFUNCTION("DATE(VALUE(LEFT($B$2,4)),VALUE(MID($B$2,6,2)),VALUE(RIGHT($B$2,2)))
+ (VALUE(REGEXEXTRACT(INDIRECT(""A""&amp;ROW()+1),""\d+""))-1)*7
+ INT((COLUMN()-COLUMN($B427))/3)
"),46638)</f>
        <v>46638</v>
      </c>
      <c r="L427" s="81"/>
      <c r="M427" s="82"/>
      <c r="N427" s="77">
        <f ca="1">IFERROR(__xludf.DUMMYFUNCTION("DATE(VALUE(LEFT($B$2,4)),VALUE(MID($B$2,6,2)),VALUE(RIGHT($B$2,2)))
+ (VALUE(REGEXEXTRACT(INDIRECT(""A""&amp;ROW()+1),""\d+""))-1)*7
+ INT((COLUMN()-COLUMN($B427))/3)
"),46639)</f>
        <v>46639</v>
      </c>
      <c r="O427" s="81"/>
      <c r="P427" s="82"/>
      <c r="Q427" s="77">
        <f ca="1">IFERROR(__xludf.DUMMYFUNCTION("DATE(VALUE(LEFT($B$2,4)),VALUE(MID($B$2,6,2)),VALUE(RIGHT($B$2,2)))
+ (VALUE(REGEXEXTRACT(INDIRECT(""A""&amp;ROW()+1),""\d+""))-1)*7
+ INT((COLUMN()-COLUMN($B427))/3)
"),46640)</f>
        <v>46640</v>
      </c>
      <c r="R427" s="81"/>
      <c r="S427" s="82"/>
      <c r="T427" s="77">
        <f ca="1">IFERROR(__xludf.DUMMYFUNCTION("DATE(VALUE(LEFT($B$2,4)),VALUE(MID($B$2,6,2)),VALUE(RIGHT($B$2,2)))
+ (VALUE(REGEXEXTRACT(INDIRECT(""A""&amp;ROW()+1),""\d+""))-1)*7
+ INT((COLUMN()-COLUMN($B427))/3)
"),46641)</f>
        <v>46641</v>
      </c>
      <c r="U427" s="81"/>
      <c r="V427" s="82"/>
      <c r="W427" s="52" t="s">
        <v>20</v>
      </c>
    </row>
    <row r="428" spans="1:23" ht="15.75" customHeight="1">
      <c r="A428" s="47" t="s">
        <v>165</v>
      </c>
      <c r="B428" s="113"/>
      <c r="C428" s="109"/>
      <c r="D428" s="42">
        <f>V426+C428</f>
        <v>-1458</v>
      </c>
      <c r="E428" s="112"/>
      <c r="F428" s="111"/>
      <c r="G428" s="36">
        <f>D438+F428</f>
        <v>-1458</v>
      </c>
      <c r="H428" s="132"/>
      <c r="I428" s="109"/>
      <c r="J428" s="42">
        <f>G438+I428</f>
        <v>-1458</v>
      </c>
      <c r="K428" s="112"/>
      <c r="L428" s="111"/>
      <c r="M428" s="18">
        <f>J438+L428</f>
        <v>-1458</v>
      </c>
      <c r="N428" s="113"/>
      <c r="O428" s="109"/>
      <c r="P428" s="35">
        <f>M438+O428</f>
        <v>-1458</v>
      </c>
      <c r="Q428" s="112"/>
      <c r="R428" s="111"/>
      <c r="S428" s="18">
        <f>P438+R428</f>
        <v>-1458</v>
      </c>
      <c r="T428" s="173"/>
      <c r="U428" s="173"/>
      <c r="V428" s="50">
        <f>S438+U428</f>
        <v>-1458</v>
      </c>
      <c r="W428" s="172"/>
    </row>
    <row r="429" spans="1:23" ht="15.75" customHeight="1">
      <c r="A429" s="114"/>
      <c r="B429" s="118"/>
      <c r="C429" s="117"/>
      <c r="D429" s="19">
        <f t="shared" ref="D429:D438" si="252">D428+C429</f>
        <v>-1458</v>
      </c>
      <c r="E429" s="106"/>
      <c r="F429" s="107"/>
      <c r="G429" s="26">
        <f t="shared" ref="G429:G438" si="253">G428+F429</f>
        <v>-1458</v>
      </c>
      <c r="H429" s="133"/>
      <c r="I429" s="117"/>
      <c r="J429" s="19">
        <f t="shared" ref="J429:J438" si="254">J428+I429</f>
        <v>-1458</v>
      </c>
      <c r="K429" s="106"/>
      <c r="L429" s="107"/>
      <c r="M429" s="26">
        <f t="shared" ref="M429:M438" si="255">M428+L429</f>
        <v>-1458</v>
      </c>
      <c r="N429" s="118"/>
      <c r="O429" s="117"/>
      <c r="P429" s="38">
        <f t="shared" ref="P429:P438" si="256">P428+O429</f>
        <v>-1458</v>
      </c>
      <c r="Q429" s="106"/>
      <c r="R429" s="107"/>
      <c r="S429" s="26">
        <f t="shared" ref="S429:S438" si="257">S428+R429</f>
        <v>-1458</v>
      </c>
      <c r="T429" s="136"/>
      <c r="U429" s="136"/>
      <c r="V429" s="45">
        <f t="shared" ref="V429:V438" si="258">V428+U429</f>
        <v>-1458</v>
      </c>
      <c r="W429" s="143"/>
    </row>
    <row r="430" spans="1:23" ht="15.75" customHeight="1">
      <c r="A430" s="114"/>
      <c r="B430" s="118"/>
      <c r="C430" s="117"/>
      <c r="D430" s="19">
        <f t="shared" si="252"/>
        <v>-1458</v>
      </c>
      <c r="E430" s="106"/>
      <c r="F430" s="107"/>
      <c r="G430" s="26">
        <f t="shared" si="253"/>
        <v>-1458</v>
      </c>
      <c r="H430" s="133"/>
      <c r="I430" s="117"/>
      <c r="J430" s="19">
        <f t="shared" si="254"/>
        <v>-1458</v>
      </c>
      <c r="K430" s="106"/>
      <c r="L430" s="107"/>
      <c r="M430" s="26">
        <f t="shared" si="255"/>
        <v>-1458</v>
      </c>
      <c r="N430" s="117"/>
      <c r="O430" s="117"/>
      <c r="P430" s="38">
        <f t="shared" si="256"/>
        <v>-1458</v>
      </c>
      <c r="Q430" s="106"/>
      <c r="R430" s="107"/>
      <c r="S430" s="26">
        <f t="shared" si="257"/>
        <v>-1458</v>
      </c>
      <c r="T430" s="117"/>
      <c r="U430" s="117"/>
      <c r="V430" s="45">
        <f t="shared" si="258"/>
        <v>-1458</v>
      </c>
      <c r="W430" s="143"/>
    </row>
    <row r="431" spans="1:23" ht="15.75" customHeight="1">
      <c r="A431" s="114"/>
      <c r="B431" s="118"/>
      <c r="C431" s="117"/>
      <c r="D431" s="19">
        <f t="shared" si="252"/>
        <v>-1458</v>
      </c>
      <c r="E431" s="106"/>
      <c r="F431" s="107"/>
      <c r="G431" s="26">
        <f t="shared" si="253"/>
        <v>-1458</v>
      </c>
      <c r="H431" s="133"/>
      <c r="I431" s="117"/>
      <c r="J431" s="19">
        <f t="shared" si="254"/>
        <v>-1458</v>
      </c>
      <c r="K431" s="106"/>
      <c r="L431" s="107"/>
      <c r="M431" s="26">
        <f t="shared" si="255"/>
        <v>-1458</v>
      </c>
      <c r="N431" s="117"/>
      <c r="O431" s="117"/>
      <c r="P431" s="19">
        <f t="shared" si="256"/>
        <v>-1458</v>
      </c>
      <c r="Q431" s="106"/>
      <c r="R431" s="107"/>
      <c r="S431" s="26">
        <f t="shared" si="257"/>
        <v>-1458</v>
      </c>
      <c r="T431" s="136"/>
      <c r="U431" s="136"/>
      <c r="V431" s="45">
        <f t="shared" si="258"/>
        <v>-1458</v>
      </c>
      <c r="W431" s="143"/>
    </row>
    <row r="432" spans="1:23" ht="15.75" customHeight="1">
      <c r="A432" s="114"/>
      <c r="B432" s="118"/>
      <c r="C432" s="117"/>
      <c r="D432" s="19">
        <f t="shared" si="252"/>
        <v>-1458</v>
      </c>
      <c r="E432" s="106"/>
      <c r="F432" s="107"/>
      <c r="G432" s="26">
        <f t="shared" si="253"/>
        <v>-1458</v>
      </c>
      <c r="H432" s="133"/>
      <c r="I432" s="117"/>
      <c r="J432" s="19">
        <f t="shared" si="254"/>
        <v>-1458</v>
      </c>
      <c r="K432" s="106"/>
      <c r="L432" s="107"/>
      <c r="M432" s="26">
        <f t="shared" si="255"/>
        <v>-1458</v>
      </c>
      <c r="N432" s="117"/>
      <c r="O432" s="117"/>
      <c r="P432" s="19">
        <f t="shared" si="256"/>
        <v>-1458</v>
      </c>
      <c r="Q432" s="106"/>
      <c r="R432" s="107"/>
      <c r="S432" s="26">
        <f t="shared" si="257"/>
        <v>-1458</v>
      </c>
      <c r="T432" s="136"/>
      <c r="U432" s="136"/>
      <c r="V432" s="45">
        <f t="shared" si="258"/>
        <v>-1458</v>
      </c>
      <c r="W432" s="143"/>
    </row>
    <row r="433" spans="1:23" ht="15.75" customHeight="1">
      <c r="A433" s="114"/>
      <c r="B433" s="118"/>
      <c r="C433" s="117"/>
      <c r="D433" s="19">
        <f t="shared" si="252"/>
        <v>-1458</v>
      </c>
      <c r="E433" s="106"/>
      <c r="F433" s="107"/>
      <c r="G433" s="26">
        <f t="shared" si="253"/>
        <v>-1458</v>
      </c>
      <c r="H433" s="133"/>
      <c r="I433" s="117"/>
      <c r="J433" s="19">
        <f t="shared" si="254"/>
        <v>-1458</v>
      </c>
      <c r="K433" s="106"/>
      <c r="L433" s="107"/>
      <c r="M433" s="26">
        <f t="shared" si="255"/>
        <v>-1458</v>
      </c>
      <c r="N433" s="117"/>
      <c r="O433" s="117"/>
      <c r="P433" s="19">
        <f t="shared" si="256"/>
        <v>-1458</v>
      </c>
      <c r="Q433" s="106"/>
      <c r="R433" s="107"/>
      <c r="S433" s="26">
        <f t="shared" si="257"/>
        <v>-1458</v>
      </c>
      <c r="T433" s="136"/>
      <c r="U433" s="136"/>
      <c r="V433" s="45">
        <f t="shared" si="258"/>
        <v>-1458</v>
      </c>
      <c r="W433" s="143"/>
    </row>
    <row r="434" spans="1:23" ht="15.75" customHeight="1">
      <c r="A434" s="114"/>
      <c r="B434" s="117"/>
      <c r="C434" s="117"/>
      <c r="D434" s="19">
        <f t="shared" si="252"/>
        <v>-1458</v>
      </c>
      <c r="E434" s="106"/>
      <c r="F434" s="107"/>
      <c r="G434" s="26">
        <f t="shared" si="253"/>
        <v>-1458</v>
      </c>
      <c r="H434" s="133"/>
      <c r="I434" s="117"/>
      <c r="J434" s="19">
        <f t="shared" si="254"/>
        <v>-1458</v>
      </c>
      <c r="K434" s="106"/>
      <c r="L434" s="107"/>
      <c r="M434" s="26">
        <f t="shared" si="255"/>
        <v>-1458</v>
      </c>
      <c r="N434" s="117"/>
      <c r="O434" s="117"/>
      <c r="P434" s="19">
        <f t="shared" si="256"/>
        <v>-1458</v>
      </c>
      <c r="Q434" s="106"/>
      <c r="R434" s="107"/>
      <c r="S434" s="26">
        <f t="shared" si="257"/>
        <v>-1458</v>
      </c>
      <c r="T434" s="136"/>
      <c r="U434" s="136"/>
      <c r="V434" s="45">
        <f t="shared" si="258"/>
        <v>-1458</v>
      </c>
      <c r="W434" s="143"/>
    </row>
    <row r="435" spans="1:23" ht="15.75" customHeight="1">
      <c r="A435" s="114"/>
      <c r="B435" s="117"/>
      <c r="C435" s="117"/>
      <c r="D435" s="19">
        <f t="shared" si="252"/>
        <v>-1458</v>
      </c>
      <c r="E435" s="106"/>
      <c r="F435" s="107"/>
      <c r="G435" s="26">
        <f t="shared" si="253"/>
        <v>-1458</v>
      </c>
      <c r="H435" s="133"/>
      <c r="I435" s="117"/>
      <c r="J435" s="19">
        <f t="shared" si="254"/>
        <v>-1458</v>
      </c>
      <c r="K435" s="106"/>
      <c r="L435" s="107"/>
      <c r="M435" s="26">
        <f t="shared" si="255"/>
        <v>-1458</v>
      </c>
      <c r="N435" s="117"/>
      <c r="O435" s="117"/>
      <c r="P435" s="19">
        <f t="shared" si="256"/>
        <v>-1458</v>
      </c>
      <c r="Q435" s="106"/>
      <c r="R435" s="107"/>
      <c r="S435" s="26">
        <f t="shared" si="257"/>
        <v>-1458</v>
      </c>
      <c r="T435" s="136"/>
      <c r="U435" s="136"/>
      <c r="V435" s="45">
        <f t="shared" si="258"/>
        <v>-1458</v>
      </c>
      <c r="W435" s="143"/>
    </row>
    <row r="436" spans="1:23" ht="15.75" customHeight="1">
      <c r="A436" s="114"/>
      <c r="B436" s="117"/>
      <c r="C436" s="117"/>
      <c r="D436" s="19">
        <f t="shared" si="252"/>
        <v>-1458</v>
      </c>
      <c r="E436" s="106"/>
      <c r="F436" s="107"/>
      <c r="G436" s="26">
        <f t="shared" si="253"/>
        <v>-1458</v>
      </c>
      <c r="H436" s="133"/>
      <c r="I436" s="117"/>
      <c r="J436" s="19">
        <f t="shared" si="254"/>
        <v>-1458</v>
      </c>
      <c r="K436" s="106"/>
      <c r="L436" s="107"/>
      <c r="M436" s="26">
        <f t="shared" si="255"/>
        <v>-1458</v>
      </c>
      <c r="N436" s="117"/>
      <c r="O436" s="117"/>
      <c r="P436" s="19">
        <f t="shared" si="256"/>
        <v>-1458</v>
      </c>
      <c r="Q436" s="106"/>
      <c r="R436" s="107"/>
      <c r="S436" s="26">
        <f t="shared" si="257"/>
        <v>-1458</v>
      </c>
      <c r="T436" s="136"/>
      <c r="U436" s="136"/>
      <c r="V436" s="45">
        <f t="shared" si="258"/>
        <v>-1458</v>
      </c>
      <c r="W436" s="143"/>
    </row>
    <row r="437" spans="1:23" ht="15.75" customHeight="1">
      <c r="A437" s="114"/>
      <c r="B437" s="117"/>
      <c r="C437" s="117"/>
      <c r="D437" s="19">
        <f t="shared" si="252"/>
        <v>-1458</v>
      </c>
      <c r="E437" s="122"/>
      <c r="F437" s="123"/>
      <c r="G437" s="26">
        <f t="shared" si="253"/>
        <v>-1458</v>
      </c>
      <c r="H437" s="133"/>
      <c r="I437" s="117"/>
      <c r="J437" s="19">
        <f t="shared" si="254"/>
        <v>-1458</v>
      </c>
      <c r="K437" s="122"/>
      <c r="L437" s="123"/>
      <c r="M437" s="26">
        <f t="shared" si="255"/>
        <v>-1458</v>
      </c>
      <c r="N437" s="117"/>
      <c r="O437" s="117"/>
      <c r="P437" s="19">
        <f t="shared" si="256"/>
        <v>-1458</v>
      </c>
      <c r="Q437" s="106"/>
      <c r="R437" s="107"/>
      <c r="S437" s="26">
        <f t="shared" si="257"/>
        <v>-1458</v>
      </c>
      <c r="T437" s="136"/>
      <c r="U437" s="136"/>
      <c r="V437" s="45">
        <f t="shared" si="258"/>
        <v>-1458</v>
      </c>
      <c r="W437" s="143"/>
    </row>
    <row r="438" spans="1:23" ht="15.75" customHeight="1">
      <c r="A438" s="114"/>
      <c r="B438" s="128"/>
      <c r="C438" s="128"/>
      <c r="D438" s="29">
        <f t="shared" si="252"/>
        <v>-1458</v>
      </c>
      <c r="E438" s="122"/>
      <c r="F438" s="123"/>
      <c r="G438" s="53">
        <f t="shared" si="253"/>
        <v>-1458</v>
      </c>
      <c r="H438" s="140"/>
      <c r="I438" s="128"/>
      <c r="J438" s="29">
        <f t="shared" si="254"/>
        <v>-1458</v>
      </c>
      <c r="K438" s="122"/>
      <c r="L438" s="123"/>
      <c r="M438" s="39">
        <f t="shared" si="255"/>
        <v>-1458</v>
      </c>
      <c r="N438" s="128"/>
      <c r="O438" s="128"/>
      <c r="P438" s="55">
        <f t="shared" si="256"/>
        <v>-1458</v>
      </c>
      <c r="Q438" s="124"/>
      <c r="R438" s="123"/>
      <c r="S438" s="39">
        <f t="shared" si="257"/>
        <v>-1458</v>
      </c>
      <c r="T438" s="141"/>
      <c r="U438" s="141"/>
      <c r="V438" s="46">
        <f t="shared" si="258"/>
        <v>-1458</v>
      </c>
      <c r="W438" s="143"/>
    </row>
    <row r="439" spans="1:23" ht="15.75" customHeight="1">
      <c r="A439" s="87"/>
      <c r="B439" s="77">
        <f ca="1">IFERROR(__xludf.DUMMYFUNCTION("DATE(VALUE(LEFT($B$2,4)),VALUE(MID($B$2,6,2)),VALUE(RIGHT($B$2,2)))
+ (VALUE(REGEXEXTRACT(INDIRECT(""A""&amp;ROW()+1),""\d+""))-1)*7
+ INT((COLUMN()-COLUMN($B439))/3)
"),46642)</f>
        <v>46642</v>
      </c>
      <c r="C439" s="81"/>
      <c r="D439" s="82"/>
      <c r="E439" s="77">
        <f ca="1">IFERROR(__xludf.DUMMYFUNCTION("DATE(VALUE(LEFT($B$2,4)),VALUE(MID($B$2,6,2)),VALUE(RIGHT($B$2,2)))
+ (VALUE(REGEXEXTRACT(INDIRECT(""A""&amp;ROW()+1),""\d+""))-1)*7
+ INT((COLUMN()-COLUMN($B439))/3)
"),46643)</f>
        <v>46643</v>
      </c>
      <c r="F439" s="81"/>
      <c r="G439" s="82"/>
      <c r="H439" s="77">
        <f ca="1">IFERROR(__xludf.DUMMYFUNCTION("DATE(VALUE(LEFT($B$2,4)),VALUE(MID($B$2,6,2)),VALUE(RIGHT($B$2,2)))
+ (VALUE(REGEXEXTRACT(INDIRECT(""A""&amp;ROW()+1),""\d+""))-1)*7
+ INT((COLUMN()-COLUMN($B439))/3)
"),46644)</f>
        <v>46644</v>
      </c>
      <c r="I439" s="81"/>
      <c r="J439" s="82"/>
      <c r="K439" s="77">
        <f ca="1">IFERROR(__xludf.DUMMYFUNCTION("DATE(VALUE(LEFT($B$2,4)),VALUE(MID($B$2,6,2)),VALUE(RIGHT($B$2,2)))
+ (VALUE(REGEXEXTRACT(INDIRECT(""A""&amp;ROW()+1),""\d+""))-1)*7
+ INT((COLUMN()-COLUMN($B439))/3)
"),46645)</f>
        <v>46645</v>
      </c>
      <c r="L439" s="81"/>
      <c r="M439" s="82"/>
      <c r="N439" s="77">
        <f ca="1">IFERROR(__xludf.DUMMYFUNCTION("DATE(VALUE(LEFT($B$2,4)),VALUE(MID($B$2,6,2)),VALUE(RIGHT($B$2,2)))
+ (VALUE(REGEXEXTRACT(INDIRECT(""A""&amp;ROW()+1),""\d+""))-1)*7
+ INT((COLUMN()-COLUMN($B439))/3)
"),46646)</f>
        <v>46646</v>
      </c>
      <c r="O439" s="81"/>
      <c r="P439" s="82"/>
      <c r="Q439" s="77">
        <f ca="1">IFERROR(__xludf.DUMMYFUNCTION("DATE(VALUE(LEFT($B$2,4)),VALUE(MID($B$2,6,2)),VALUE(RIGHT($B$2,2)))
+ (VALUE(REGEXEXTRACT(INDIRECT(""A""&amp;ROW()+1),""\d+""))-1)*7
+ INT((COLUMN()-COLUMN($B439))/3)
"),46647)</f>
        <v>46647</v>
      </c>
      <c r="R439" s="81"/>
      <c r="S439" s="82"/>
      <c r="T439" s="77">
        <f ca="1">IFERROR(__xludf.DUMMYFUNCTION("DATE(VALUE(LEFT($B$2,4)),VALUE(MID($B$2,6,2)),VALUE(RIGHT($B$2,2)))
+ (VALUE(REGEXEXTRACT(INDIRECT(""A""&amp;ROW()+1),""\d+""))-1)*7
+ INT((COLUMN()-COLUMN($B439))/3)
"),46648)</f>
        <v>46648</v>
      </c>
      <c r="U439" s="81"/>
      <c r="V439" s="82"/>
      <c r="W439" s="143"/>
    </row>
    <row r="440" spans="1:23" ht="15.75" customHeight="1">
      <c r="A440" s="51" t="s">
        <v>166</v>
      </c>
      <c r="B440" s="112"/>
      <c r="C440" s="111"/>
      <c r="D440" s="17">
        <f>V438+C440</f>
        <v>-1458</v>
      </c>
      <c r="E440" s="109"/>
      <c r="F440" s="109"/>
      <c r="G440" s="54">
        <f>D450+F440</f>
        <v>-1458</v>
      </c>
      <c r="H440" s="110"/>
      <c r="I440" s="111"/>
      <c r="J440" s="17">
        <f>G450+I440</f>
        <v>-1458</v>
      </c>
      <c r="K440" s="109"/>
      <c r="L440" s="109"/>
      <c r="M440" s="35">
        <f>J450+L440</f>
        <v>-1458</v>
      </c>
      <c r="N440" s="112"/>
      <c r="O440" s="111"/>
      <c r="P440" s="17">
        <f>M450+O440</f>
        <v>-1458</v>
      </c>
      <c r="Q440" s="109"/>
      <c r="R440" s="109"/>
      <c r="S440" s="35">
        <f>P450+R440</f>
        <v>-1458</v>
      </c>
      <c r="T440" s="112"/>
      <c r="U440" s="111"/>
      <c r="V440" s="48">
        <f>S450+U440</f>
        <v>-1458</v>
      </c>
      <c r="W440" s="143"/>
    </row>
    <row r="441" spans="1:23" ht="15.75" customHeight="1">
      <c r="A441" s="114"/>
      <c r="B441" s="106"/>
      <c r="C441" s="107"/>
      <c r="D441" s="26">
        <f t="shared" ref="D441:D450" si="259">D440+C441</f>
        <v>-1458</v>
      </c>
      <c r="E441" s="117"/>
      <c r="F441" s="117"/>
      <c r="G441" s="19">
        <f t="shared" ref="G441:G450" si="260">G440+F441</f>
        <v>-1458</v>
      </c>
      <c r="H441" s="116"/>
      <c r="I441" s="107"/>
      <c r="J441" s="26">
        <f t="shared" ref="J441:J450" si="261">J440+I441</f>
        <v>-1458</v>
      </c>
      <c r="K441" s="117"/>
      <c r="L441" s="117"/>
      <c r="M441" s="38">
        <f t="shared" ref="M441:M450" si="262">M440+L441</f>
        <v>-1458</v>
      </c>
      <c r="N441" s="106"/>
      <c r="O441" s="107"/>
      <c r="P441" s="26">
        <f t="shared" ref="P441:P450" si="263">P440+O441</f>
        <v>-1458</v>
      </c>
      <c r="Q441" s="117"/>
      <c r="R441" s="117"/>
      <c r="S441" s="38">
        <f t="shared" ref="S441:S450" si="264">S440+R441</f>
        <v>-1458</v>
      </c>
      <c r="T441" s="106"/>
      <c r="U441" s="107"/>
      <c r="V441" s="20">
        <f t="shared" ref="V441:V450" si="265">V440+U441</f>
        <v>-1458</v>
      </c>
      <c r="W441" s="143"/>
    </row>
    <row r="442" spans="1:23" ht="15.75" customHeight="1">
      <c r="A442" s="114"/>
      <c r="B442" s="106"/>
      <c r="C442" s="107"/>
      <c r="D442" s="26">
        <f t="shared" si="259"/>
        <v>-1458</v>
      </c>
      <c r="E442" s="117"/>
      <c r="F442" s="117"/>
      <c r="G442" s="19">
        <f t="shared" si="260"/>
        <v>-1458</v>
      </c>
      <c r="H442" s="116"/>
      <c r="I442" s="107"/>
      <c r="J442" s="26">
        <f t="shared" si="261"/>
        <v>-1458</v>
      </c>
      <c r="K442" s="117"/>
      <c r="L442" s="117"/>
      <c r="M442" s="38">
        <f t="shared" si="262"/>
        <v>-1458</v>
      </c>
      <c r="N442" s="106"/>
      <c r="O442" s="107"/>
      <c r="P442" s="26">
        <f t="shared" si="263"/>
        <v>-1458</v>
      </c>
      <c r="Q442" s="117"/>
      <c r="R442" s="117"/>
      <c r="S442" s="38">
        <f t="shared" si="264"/>
        <v>-1458</v>
      </c>
      <c r="T442" s="106"/>
      <c r="U442" s="116"/>
      <c r="V442" s="20">
        <f t="shared" si="265"/>
        <v>-1458</v>
      </c>
      <c r="W442" s="143"/>
    </row>
    <row r="443" spans="1:23" ht="15.75" customHeight="1">
      <c r="A443" s="114"/>
      <c r="B443" s="106"/>
      <c r="C443" s="107"/>
      <c r="D443" s="26">
        <f t="shared" si="259"/>
        <v>-1458</v>
      </c>
      <c r="E443" s="117"/>
      <c r="F443" s="117"/>
      <c r="G443" s="19">
        <f t="shared" si="260"/>
        <v>-1458</v>
      </c>
      <c r="H443" s="116"/>
      <c r="I443" s="107"/>
      <c r="J443" s="26">
        <f t="shared" si="261"/>
        <v>-1458</v>
      </c>
      <c r="K443" s="117"/>
      <c r="L443" s="117"/>
      <c r="M443" s="38">
        <f t="shared" si="262"/>
        <v>-1458</v>
      </c>
      <c r="N443" s="106"/>
      <c r="O443" s="107"/>
      <c r="P443" s="26">
        <f t="shared" si="263"/>
        <v>-1458</v>
      </c>
      <c r="Q443" s="117"/>
      <c r="R443" s="117"/>
      <c r="S443" s="38">
        <f t="shared" si="264"/>
        <v>-1458</v>
      </c>
      <c r="T443" s="106"/>
      <c r="U443" s="116"/>
      <c r="V443" s="20">
        <f t="shared" si="265"/>
        <v>-1458</v>
      </c>
      <c r="W443" s="143"/>
    </row>
    <row r="444" spans="1:23" ht="15.75" customHeight="1">
      <c r="A444" s="114"/>
      <c r="B444" s="106"/>
      <c r="C444" s="107"/>
      <c r="D444" s="26">
        <f t="shared" si="259"/>
        <v>-1458</v>
      </c>
      <c r="E444" s="117"/>
      <c r="F444" s="117"/>
      <c r="G444" s="19">
        <f t="shared" si="260"/>
        <v>-1458</v>
      </c>
      <c r="H444" s="116"/>
      <c r="I444" s="107"/>
      <c r="J444" s="26">
        <f t="shared" si="261"/>
        <v>-1458</v>
      </c>
      <c r="K444" s="117"/>
      <c r="L444" s="117"/>
      <c r="M444" s="38">
        <f t="shared" si="262"/>
        <v>-1458</v>
      </c>
      <c r="N444" s="106"/>
      <c r="O444" s="107"/>
      <c r="P444" s="26">
        <f t="shared" si="263"/>
        <v>-1458</v>
      </c>
      <c r="Q444" s="117"/>
      <c r="R444" s="117"/>
      <c r="S444" s="38">
        <f t="shared" si="264"/>
        <v>-1458</v>
      </c>
      <c r="T444" s="106"/>
      <c r="U444" s="116"/>
      <c r="V444" s="20">
        <f t="shared" si="265"/>
        <v>-1458</v>
      </c>
      <c r="W444" s="143"/>
    </row>
    <row r="445" spans="1:23" ht="15.75" customHeight="1">
      <c r="A445" s="114"/>
      <c r="B445" s="106"/>
      <c r="C445" s="107"/>
      <c r="D445" s="26">
        <f t="shared" si="259"/>
        <v>-1458</v>
      </c>
      <c r="E445" s="117"/>
      <c r="F445" s="117"/>
      <c r="G445" s="19">
        <f t="shared" si="260"/>
        <v>-1458</v>
      </c>
      <c r="H445" s="116"/>
      <c r="I445" s="107"/>
      <c r="J445" s="26">
        <f t="shared" si="261"/>
        <v>-1458</v>
      </c>
      <c r="K445" s="117"/>
      <c r="L445" s="117"/>
      <c r="M445" s="38">
        <f t="shared" si="262"/>
        <v>-1458</v>
      </c>
      <c r="N445" s="106"/>
      <c r="O445" s="107"/>
      <c r="P445" s="26">
        <f t="shared" si="263"/>
        <v>-1458</v>
      </c>
      <c r="Q445" s="117"/>
      <c r="R445" s="117"/>
      <c r="S445" s="38">
        <f t="shared" si="264"/>
        <v>-1458</v>
      </c>
      <c r="T445" s="106"/>
      <c r="U445" s="116"/>
      <c r="V445" s="20">
        <f t="shared" si="265"/>
        <v>-1458</v>
      </c>
      <c r="W445" s="143"/>
    </row>
    <row r="446" spans="1:23" ht="15.75" customHeight="1">
      <c r="A446" s="114"/>
      <c r="B446" s="106"/>
      <c r="C446" s="107"/>
      <c r="D446" s="26">
        <f t="shared" si="259"/>
        <v>-1458</v>
      </c>
      <c r="E446" s="117"/>
      <c r="F446" s="117"/>
      <c r="G446" s="19">
        <f t="shared" si="260"/>
        <v>-1458</v>
      </c>
      <c r="H446" s="116"/>
      <c r="I446" s="107"/>
      <c r="J446" s="26">
        <f t="shared" si="261"/>
        <v>-1458</v>
      </c>
      <c r="K446" s="117"/>
      <c r="L446" s="117"/>
      <c r="M446" s="38">
        <f t="shared" si="262"/>
        <v>-1458</v>
      </c>
      <c r="N446" s="106"/>
      <c r="O446" s="107"/>
      <c r="P446" s="26">
        <f t="shared" si="263"/>
        <v>-1458</v>
      </c>
      <c r="Q446" s="117"/>
      <c r="R446" s="117"/>
      <c r="S446" s="38">
        <f t="shared" si="264"/>
        <v>-1458</v>
      </c>
      <c r="T446" s="106"/>
      <c r="U446" s="116"/>
      <c r="V446" s="20">
        <f t="shared" si="265"/>
        <v>-1458</v>
      </c>
      <c r="W446" s="143"/>
    </row>
    <row r="447" spans="1:23" ht="15.75" customHeight="1">
      <c r="A447" s="114"/>
      <c r="B447" s="106"/>
      <c r="C447" s="107"/>
      <c r="D447" s="26">
        <f t="shared" si="259"/>
        <v>-1458</v>
      </c>
      <c r="E447" s="117"/>
      <c r="F447" s="117"/>
      <c r="G447" s="19">
        <f t="shared" si="260"/>
        <v>-1458</v>
      </c>
      <c r="H447" s="116"/>
      <c r="I447" s="107"/>
      <c r="J447" s="26">
        <f t="shared" si="261"/>
        <v>-1458</v>
      </c>
      <c r="K447" s="117"/>
      <c r="L447" s="117"/>
      <c r="M447" s="38">
        <f t="shared" si="262"/>
        <v>-1458</v>
      </c>
      <c r="N447" s="106"/>
      <c r="O447" s="107"/>
      <c r="P447" s="26">
        <f t="shared" si="263"/>
        <v>-1458</v>
      </c>
      <c r="Q447" s="117"/>
      <c r="R447" s="117"/>
      <c r="S447" s="38">
        <f t="shared" si="264"/>
        <v>-1458</v>
      </c>
      <c r="T447" s="106"/>
      <c r="U447" s="116"/>
      <c r="V447" s="20">
        <f t="shared" si="265"/>
        <v>-1458</v>
      </c>
      <c r="W447" s="143"/>
    </row>
    <row r="448" spans="1:23" ht="15.75" customHeight="1">
      <c r="A448" s="114"/>
      <c r="B448" s="122"/>
      <c r="C448" s="123"/>
      <c r="D448" s="26">
        <f t="shared" si="259"/>
        <v>-1458</v>
      </c>
      <c r="E448" s="117"/>
      <c r="F448" s="117"/>
      <c r="G448" s="19">
        <f t="shared" si="260"/>
        <v>-1458</v>
      </c>
      <c r="H448" s="124"/>
      <c r="I448" s="123"/>
      <c r="J448" s="26">
        <f t="shared" si="261"/>
        <v>-1458</v>
      </c>
      <c r="K448" s="117"/>
      <c r="L448" s="117"/>
      <c r="M448" s="38">
        <f t="shared" si="262"/>
        <v>-1458</v>
      </c>
      <c r="N448" s="122"/>
      <c r="O448" s="123"/>
      <c r="P448" s="26">
        <f t="shared" si="263"/>
        <v>-1458</v>
      </c>
      <c r="Q448" s="117"/>
      <c r="R448" s="117"/>
      <c r="S448" s="38">
        <f t="shared" si="264"/>
        <v>-1458</v>
      </c>
      <c r="T448" s="106"/>
      <c r="U448" s="116"/>
      <c r="V448" s="20">
        <f t="shared" si="265"/>
        <v>-1458</v>
      </c>
      <c r="W448" s="143"/>
    </row>
    <row r="449" spans="1:23" ht="15.75" customHeight="1">
      <c r="A449" s="114"/>
      <c r="B449" s="122"/>
      <c r="C449" s="123"/>
      <c r="D449" s="26">
        <f t="shared" si="259"/>
        <v>-1458</v>
      </c>
      <c r="E449" s="117"/>
      <c r="F449" s="117"/>
      <c r="G449" s="19">
        <f t="shared" si="260"/>
        <v>-1458</v>
      </c>
      <c r="H449" s="124"/>
      <c r="I449" s="123"/>
      <c r="J449" s="26">
        <f t="shared" si="261"/>
        <v>-1458</v>
      </c>
      <c r="K449" s="117"/>
      <c r="L449" s="117"/>
      <c r="M449" s="38">
        <f t="shared" si="262"/>
        <v>-1458</v>
      </c>
      <c r="N449" s="122"/>
      <c r="O449" s="123"/>
      <c r="P449" s="26">
        <f t="shared" si="263"/>
        <v>-1458</v>
      </c>
      <c r="Q449" s="117"/>
      <c r="R449" s="117"/>
      <c r="S449" s="38">
        <f t="shared" si="264"/>
        <v>-1458</v>
      </c>
      <c r="T449" s="122"/>
      <c r="U449" s="124"/>
      <c r="V449" s="20">
        <f t="shared" si="265"/>
        <v>-1458</v>
      </c>
      <c r="W449" s="143"/>
    </row>
    <row r="450" spans="1:23" ht="15.75" customHeight="1">
      <c r="A450" s="114"/>
      <c r="B450" s="122"/>
      <c r="C450" s="123"/>
      <c r="D450" s="39">
        <f t="shared" si="259"/>
        <v>-1458</v>
      </c>
      <c r="E450" s="128"/>
      <c r="F450" s="128"/>
      <c r="G450" s="55">
        <f t="shared" si="260"/>
        <v>-1458</v>
      </c>
      <c r="H450" s="124"/>
      <c r="I450" s="123"/>
      <c r="J450" s="39">
        <f t="shared" si="261"/>
        <v>-1458</v>
      </c>
      <c r="K450" s="128"/>
      <c r="L450" s="128"/>
      <c r="M450" s="40">
        <f t="shared" si="262"/>
        <v>-1458</v>
      </c>
      <c r="N450" s="122"/>
      <c r="O450" s="123"/>
      <c r="P450" s="39">
        <f t="shared" si="263"/>
        <v>-1458</v>
      </c>
      <c r="Q450" s="128"/>
      <c r="R450" s="128"/>
      <c r="S450" s="40">
        <f t="shared" si="264"/>
        <v>-1458</v>
      </c>
      <c r="T450" s="122"/>
      <c r="U450" s="123"/>
      <c r="V450" s="49">
        <f t="shared" si="265"/>
        <v>-1458</v>
      </c>
      <c r="W450" s="143"/>
    </row>
    <row r="451" spans="1:23" ht="15.75" customHeight="1">
      <c r="A451" s="87"/>
      <c r="B451" s="77">
        <f ca="1">IFERROR(__xludf.DUMMYFUNCTION("DATE(VALUE(LEFT($B$2,4)),VALUE(MID($B$2,6,2)),VALUE(RIGHT($B$2,2)))
+ (VALUE(REGEXEXTRACT(INDIRECT(""A""&amp;ROW()+1),""\d+""))-1)*7
+ INT((COLUMN()-COLUMN($B451))/3)
"),46649)</f>
        <v>46649</v>
      </c>
      <c r="C451" s="81"/>
      <c r="D451" s="82"/>
      <c r="E451" s="77">
        <f ca="1">IFERROR(__xludf.DUMMYFUNCTION("DATE(VALUE(LEFT($B$2,4)),VALUE(MID($B$2,6,2)),VALUE(RIGHT($B$2,2)))
+ (VALUE(REGEXEXTRACT(INDIRECT(""A""&amp;ROW()+1),""\d+""))-1)*7
+ INT((COLUMN()-COLUMN($B451))/3)
"),46650)</f>
        <v>46650</v>
      </c>
      <c r="F451" s="81"/>
      <c r="G451" s="82"/>
      <c r="H451" s="77">
        <f ca="1">IFERROR(__xludf.DUMMYFUNCTION("DATE(VALUE(LEFT($B$2,4)),VALUE(MID($B$2,6,2)),VALUE(RIGHT($B$2,2)))
+ (VALUE(REGEXEXTRACT(INDIRECT(""A""&amp;ROW()+1),""\d+""))-1)*7
+ INT((COLUMN()-COLUMN($B451))/3)
"),46651)</f>
        <v>46651</v>
      </c>
      <c r="I451" s="81"/>
      <c r="J451" s="82"/>
      <c r="K451" s="77">
        <f ca="1">IFERROR(__xludf.DUMMYFUNCTION("DATE(VALUE(LEFT($B$2,4)),VALUE(MID($B$2,6,2)),VALUE(RIGHT($B$2,2)))
+ (VALUE(REGEXEXTRACT(INDIRECT(""A""&amp;ROW()+1),""\d+""))-1)*7
+ INT((COLUMN()-COLUMN($B451))/3)
"),46652)</f>
        <v>46652</v>
      </c>
      <c r="L451" s="81"/>
      <c r="M451" s="82"/>
      <c r="N451" s="77">
        <f ca="1">IFERROR(__xludf.DUMMYFUNCTION("DATE(VALUE(LEFT($B$2,4)),VALUE(MID($B$2,6,2)),VALUE(RIGHT($B$2,2)))
+ (VALUE(REGEXEXTRACT(INDIRECT(""A""&amp;ROW()+1),""\d+""))-1)*7
+ INT((COLUMN()-COLUMN($B451))/3)
"),46653)</f>
        <v>46653</v>
      </c>
      <c r="O451" s="81"/>
      <c r="P451" s="82"/>
      <c r="Q451" s="77">
        <f ca="1">IFERROR(__xludf.DUMMYFUNCTION("DATE(VALUE(LEFT($B$2,4)),VALUE(MID($B$2,6,2)),VALUE(RIGHT($B$2,2)))
+ (VALUE(REGEXEXTRACT(INDIRECT(""A""&amp;ROW()+1),""\d+""))-1)*7
+ INT((COLUMN()-COLUMN($B451))/3)
"),46654)</f>
        <v>46654</v>
      </c>
      <c r="R451" s="81"/>
      <c r="S451" s="82"/>
      <c r="T451" s="77">
        <f ca="1">IFERROR(__xludf.DUMMYFUNCTION("DATE(VALUE(LEFT($B$2,4)),VALUE(MID($B$2,6,2)),VALUE(RIGHT($B$2,2)))
+ (VALUE(REGEXEXTRACT(INDIRECT(""A""&amp;ROW()+1),""\d+""))-1)*7
+ INT((COLUMN()-COLUMN($B451))/3)
"),46655)</f>
        <v>46655</v>
      </c>
      <c r="U451" s="81"/>
      <c r="V451" s="82"/>
      <c r="W451" s="52" t="s">
        <v>20</v>
      </c>
    </row>
    <row r="452" spans="1:23" ht="15.75" customHeight="1">
      <c r="A452" s="47" t="s">
        <v>167</v>
      </c>
      <c r="B452" s="113"/>
      <c r="C452" s="109"/>
      <c r="D452" s="42">
        <f>V450+C452</f>
        <v>-1458</v>
      </c>
      <c r="E452" s="112"/>
      <c r="F452" s="111"/>
      <c r="G452" s="36">
        <f>D462+F452</f>
        <v>-1458</v>
      </c>
      <c r="H452" s="132"/>
      <c r="I452" s="109"/>
      <c r="J452" s="42">
        <f>G462+I452</f>
        <v>-1458</v>
      </c>
      <c r="K452" s="112"/>
      <c r="L452" s="111"/>
      <c r="M452" s="18">
        <f>J462+L452</f>
        <v>-1458</v>
      </c>
      <c r="N452" s="113"/>
      <c r="O452" s="109"/>
      <c r="P452" s="35">
        <f>M462+O452</f>
        <v>-1458</v>
      </c>
      <c r="Q452" s="112"/>
      <c r="R452" s="111"/>
      <c r="S452" s="18">
        <f>P462+R452</f>
        <v>-1458</v>
      </c>
      <c r="T452" s="173"/>
      <c r="U452" s="173"/>
      <c r="V452" s="50">
        <f>S462+U452</f>
        <v>-1458</v>
      </c>
      <c r="W452" s="172"/>
    </row>
    <row r="453" spans="1:23" ht="15.75" customHeight="1">
      <c r="A453" s="114"/>
      <c r="B453" s="118"/>
      <c r="C453" s="117"/>
      <c r="D453" s="19">
        <f t="shared" ref="D453:D462" si="266">D452+C453</f>
        <v>-1458</v>
      </c>
      <c r="E453" s="106"/>
      <c r="F453" s="107"/>
      <c r="G453" s="26">
        <f t="shared" ref="G453:G462" si="267">G452+F453</f>
        <v>-1458</v>
      </c>
      <c r="H453" s="133"/>
      <c r="I453" s="117"/>
      <c r="J453" s="19">
        <f t="shared" ref="J453:J462" si="268">J452+I453</f>
        <v>-1458</v>
      </c>
      <c r="K453" s="106"/>
      <c r="L453" s="107"/>
      <c r="M453" s="26">
        <f t="shared" ref="M453:M462" si="269">M452+L453</f>
        <v>-1458</v>
      </c>
      <c r="N453" s="118"/>
      <c r="O453" s="117"/>
      <c r="P453" s="38">
        <f t="shared" ref="P453:P462" si="270">P452+O453</f>
        <v>-1458</v>
      </c>
      <c r="Q453" s="106"/>
      <c r="R453" s="107"/>
      <c r="S453" s="26">
        <f t="shared" ref="S453:S462" si="271">S452+R453</f>
        <v>-1458</v>
      </c>
      <c r="T453" s="136"/>
      <c r="U453" s="136"/>
      <c r="V453" s="45">
        <f t="shared" ref="V453:V462" si="272">V452+U453</f>
        <v>-1458</v>
      </c>
      <c r="W453" s="143"/>
    </row>
    <row r="454" spans="1:23" ht="15.75" customHeight="1">
      <c r="A454" s="114"/>
      <c r="B454" s="118"/>
      <c r="C454" s="117"/>
      <c r="D454" s="19">
        <f t="shared" si="266"/>
        <v>-1458</v>
      </c>
      <c r="E454" s="106"/>
      <c r="F454" s="107"/>
      <c r="G454" s="26">
        <f t="shared" si="267"/>
        <v>-1458</v>
      </c>
      <c r="H454" s="133"/>
      <c r="I454" s="117"/>
      <c r="J454" s="19">
        <f t="shared" si="268"/>
        <v>-1458</v>
      </c>
      <c r="K454" s="106"/>
      <c r="L454" s="107"/>
      <c r="M454" s="26">
        <f t="shared" si="269"/>
        <v>-1458</v>
      </c>
      <c r="N454" s="117"/>
      <c r="O454" s="117"/>
      <c r="P454" s="38">
        <f t="shared" si="270"/>
        <v>-1458</v>
      </c>
      <c r="Q454" s="106"/>
      <c r="R454" s="107"/>
      <c r="S454" s="26">
        <f t="shared" si="271"/>
        <v>-1458</v>
      </c>
      <c r="T454" s="136"/>
      <c r="U454" s="136"/>
      <c r="V454" s="45">
        <f t="shared" si="272"/>
        <v>-1458</v>
      </c>
      <c r="W454" s="143"/>
    </row>
    <row r="455" spans="1:23" ht="15.75" customHeight="1">
      <c r="A455" s="114"/>
      <c r="B455" s="118"/>
      <c r="C455" s="117"/>
      <c r="D455" s="19">
        <f t="shared" si="266"/>
        <v>-1458</v>
      </c>
      <c r="E455" s="106"/>
      <c r="F455" s="107"/>
      <c r="G455" s="26">
        <f t="shared" si="267"/>
        <v>-1458</v>
      </c>
      <c r="H455" s="133"/>
      <c r="I455" s="117"/>
      <c r="J455" s="19">
        <f t="shared" si="268"/>
        <v>-1458</v>
      </c>
      <c r="K455" s="106"/>
      <c r="L455" s="107"/>
      <c r="M455" s="26">
        <f t="shared" si="269"/>
        <v>-1458</v>
      </c>
      <c r="N455" s="117"/>
      <c r="O455" s="117"/>
      <c r="P455" s="38">
        <f t="shared" si="270"/>
        <v>-1458</v>
      </c>
      <c r="Q455" s="106"/>
      <c r="R455" s="107"/>
      <c r="S455" s="26">
        <f t="shared" si="271"/>
        <v>-1458</v>
      </c>
      <c r="T455" s="136"/>
      <c r="U455" s="136"/>
      <c r="V455" s="45">
        <f t="shared" si="272"/>
        <v>-1458</v>
      </c>
      <c r="W455" s="143"/>
    </row>
    <row r="456" spans="1:23" ht="15.75" customHeight="1">
      <c r="A456" s="114"/>
      <c r="B456" s="118"/>
      <c r="C456" s="117"/>
      <c r="D456" s="19">
        <f t="shared" si="266"/>
        <v>-1458</v>
      </c>
      <c r="E456" s="106"/>
      <c r="F456" s="107"/>
      <c r="G456" s="26">
        <f t="shared" si="267"/>
        <v>-1458</v>
      </c>
      <c r="H456" s="133"/>
      <c r="I456" s="117"/>
      <c r="J456" s="19">
        <f t="shared" si="268"/>
        <v>-1458</v>
      </c>
      <c r="K456" s="106"/>
      <c r="L456" s="107"/>
      <c r="M456" s="26">
        <f t="shared" si="269"/>
        <v>-1458</v>
      </c>
      <c r="N456" s="117"/>
      <c r="O456" s="117"/>
      <c r="P456" s="38">
        <f t="shared" si="270"/>
        <v>-1458</v>
      </c>
      <c r="Q456" s="106"/>
      <c r="R456" s="107"/>
      <c r="S456" s="26">
        <f t="shared" si="271"/>
        <v>-1458</v>
      </c>
      <c r="T456" s="136"/>
      <c r="U456" s="136"/>
      <c r="V456" s="45">
        <f t="shared" si="272"/>
        <v>-1458</v>
      </c>
      <c r="W456" s="143"/>
    </row>
    <row r="457" spans="1:23" ht="15.75" customHeight="1">
      <c r="A457" s="114"/>
      <c r="B457" s="118"/>
      <c r="C457" s="117"/>
      <c r="D457" s="19">
        <f t="shared" si="266"/>
        <v>-1458</v>
      </c>
      <c r="E457" s="106"/>
      <c r="F457" s="107"/>
      <c r="G457" s="26">
        <f t="shared" si="267"/>
        <v>-1458</v>
      </c>
      <c r="H457" s="133"/>
      <c r="I457" s="117"/>
      <c r="J457" s="19">
        <f t="shared" si="268"/>
        <v>-1458</v>
      </c>
      <c r="K457" s="106"/>
      <c r="L457" s="107"/>
      <c r="M457" s="26">
        <f t="shared" si="269"/>
        <v>-1458</v>
      </c>
      <c r="N457" s="117"/>
      <c r="O457" s="117"/>
      <c r="P457" s="38">
        <f t="shared" si="270"/>
        <v>-1458</v>
      </c>
      <c r="Q457" s="106"/>
      <c r="R457" s="107"/>
      <c r="S457" s="26">
        <f t="shared" si="271"/>
        <v>-1458</v>
      </c>
      <c r="T457" s="136"/>
      <c r="U457" s="136"/>
      <c r="V457" s="45">
        <f t="shared" si="272"/>
        <v>-1458</v>
      </c>
      <c r="W457" s="143"/>
    </row>
    <row r="458" spans="1:23" ht="15.75" customHeight="1">
      <c r="A458" s="114"/>
      <c r="B458" s="117"/>
      <c r="C458" s="117"/>
      <c r="D458" s="19">
        <f t="shared" si="266"/>
        <v>-1458</v>
      </c>
      <c r="E458" s="106"/>
      <c r="F458" s="107"/>
      <c r="G458" s="26">
        <f t="shared" si="267"/>
        <v>-1458</v>
      </c>
      <c r="H458" s="133"/>
      <c r="I458" s="117"/>
      <c r="J458" s="19">
        <f t="shared" si="268"/>
        <v>-1458</v>
      </c>
      <c r="K458" s="106"/>
      <c r="L458" s="107"/>
      <c r="M458" s="26">
        <f t="shared" si="269"/>
        <v>-1458</v>
      </c>
      <c r="N458" s="117"/>
      <c r="O458" s="117"/>
      <c r="P458" s="38">
        <f t="shared" si="270"/>
        <v>-1458</v>
      </c>
      <c r="Q458" s="106"/>
      <c r="R458" s="107"/>
      <c r="S458" s="26">
        <f t="shared" si="271"/>
        <v>-1458</v>
      </c>
      <c r="T458" s="136"/>
      <c r="U458" s="136"/>
      <c r="V458" s="45">
        <f t="shared" si="272"/>
        <v>-1458</v>
      </c>
      <c r="W458" s="143"/>
    </row>
    <row r="459" spans="1:23" ht="15.75" customHeight="1">
      <c r="A459" s="114"/>
      <c r="B459" s="117"/>
      <c r="C459" s="117"/>
      <c r="D459" s="19">
        <f t="shared" si="266"/>
        <v>-1458</v>
      </c>
      <c r="E459" s="106"/>
      <c r="F459" s="107"/>
      <c r="G459" s="26">
        <f t="shared" si="267"/>
        <v>-1458</v>
      </c>
      <c r="H459" s="133"/>
      <c r="I459" s="117"/>
      <c r="J459" s="19">
        <f t="shared" si="268"/>
        <v>-1458</v>
      </c>
      <c r="K459" s="106"/>
      <c r="L459" s="107"/>
      <c r="M459" s="26">
        <f t="shared" si="269"/>
        <v>-1458</v>
      </c>
      <c r="N459" s="117"/>
      <c r="O459" s="117"/>
      <c r="P459" s="38">
        <f t="shared" si="270"/>
        <v>-1458</v>
      </c>
      <c r="Q459" s="106"/>
      <c r="R459" s="107"/>
      <c r="S459" s="26">
        <f t="shared" si="271"/>
        <v>-1458</v>
      </c>
      <c r="T459" s="136"/>
      <c r="U459" s="136"/>
      <c r="V459" s="45">
        <f t="shared" si="272"/>
        <v>-1458</v>
      </c>
      <c r="W459" s="143"/>
    </row>
    <row r="460" spans="1:23" ht="15.75" customHeight="1">
      <c r="A460" s="114"/>
      <c r="B460" s="117"/>
      <c r="C460" s="117"/>
      <c r="D460" s="19">
        <f t="shared" si="266"/>
        <v>-1458</v>
      </c>
      <c r="E460" s="106"/>
      <c r="F460" s="107"/>
      <c r="G460" s="26">
        <f t="shared" si="267"/>
        <v>-1458</v>
      </c>
      <c r="H460" s="133"/>
      <c r="I460" s="117"/>
      <c r="J460" s="19">
        <f t="shared" si="268"/>
        <v>-1458</v>
      </c>
      <c r="K460" s="106"/>
      <c r="L460" s="107"/>
      <c r="M460" s="26">
        <f t="shared" si="269"/>
        <v>-1458</v>
      </c>
      <c r="N460" s="117"/>
      <c r="O460" s="117"/>
      <c r="P460" s="38">
        <f t="shared" si="270"/>
        <v>-1458</v>
      </c>
      <c r="Q460" s="106"/>
      <c r="R460" s="107"/>
      <c r="S460" s="26">
        <f t="shared" si="271"/>
        <v>-1458</v>
      </c>
      <c r="T460" s="136"/>
      <c r="U460" s="136"/>
      <c r="V460" s="45">
        <f t="shared" si="272"/>
        <v>-1458</v>
      </c>
      <c r="W460" s="143"/>
    </row>
    <row r="461" spans="1:23" ht="15.75" customHeight="1">
      <c r="A461" s="114"/>
      <c r="B461" s="117"/>
      <c r="C461" s="117"/>
      <c r="D461" s="19">
        <f t="shared" si="266"/>
        <v>-1458</v>
      </c>
      <c r="E461" s="122"/>
      <c r="F461" s="123"/>
      <c r="G461" s="26">
        <f t="shared" si="267"/>
        <v>-1458</v>
      </c>
      <c r="H461" s="133"/>
      <c r="I461" s="117"/>
      <c r="J461" s="19">
        <f t="shared" si="268"/>
        <v>-1458</v>
      </c>
      <c r="K461" s="122"/>
      <c r="L461" s="123"/>
      <c r="M461" s="26">
        <f t="shared" si="269"/>
        <v>-1458</v>
      </c>
      <c r="N461" s="117"/>
      <c r="O461" s="117"/>
      <c r="P461" s="38">
        <f t="shared" si="270"/>
        <v>-1458</v>
      </c>
      <c r="Q461" s="122"/>
      <c r="R461" s="123"/>
      <c r="S461" s="26">
        <f t="shared" si="271"/>
        <v>-1458</v>
      </c>
      <c r="T461" s="136"/>
      <c r="U461" s="136"/>
      <c r="V461" s="45">
        <f t="shared" si="272"/>
        <v>-1458</v>
      </c>
      <c r="W461" s="143"/>
    </row>
    <row r="462" spans="1:23" ht="15.75" customHeight="1">
      <c r="A462" s="114"/>
      <c r="B462" s="128"/>
      <c r="C462" s="128"/>
      <c r="D462" s="29">
        <f t="shared" si="266"/>
        <v>-1458</v>
      </c>
      <c r="E462" s="122"/>
      <c r="F462" s="123"/>
      <c r="G462" s="53">
        <f t="shared" si="267"/>
        <v>-1458</v>
      </c>
      <c r="H462" s="140"/>
      <c r="I462" s="128"/>
      <c r="J462" s="29">
        <f t="shared" si="268"/>
        <v>-1458</v>
      </c>
      <c r="K462" s="122"/>
      <c r="L462" s="123"/>
      <c r="M462" s="39">
        <f t="shared" si="269"/>
        <v>-1458</v>
      </c>
      <c r="N462" s="128"/>
      <c r="O462" s="128"/>
      <c r="P462" s="40">
        <f t="shared" si="270"/>
        <v>-1458</v>
      </c>
      <c r="Q462" s="122"/>
      <c r="R462" s="123"/>
      <c r="S462" s="39">
        <f t="shared" si="271"/>
        <v>-1458</v>
      </c>
      <c r="T462" s="141"/>
      <c r="U462" s="141"/>
      <c r="V462" s="46">
        <f t="shared" si="272"/>
        <v>-1458</v>
      </c>
      <c r="W462" s="143"/>
    </row>
    <row r="463" spans="1:23" ht="15.75" customHeight="1">
      <c r="A463" s="87"/>
      <c r="B463" s="77">
        <f ca="1">IFERROR(__xludf.DUMMYFUNCTION("DATE(VALUE(LEFT($B$2,4)),VALUE(MID($B$2,6,2)),VALUE(RIGHT($B$2,2)))
+ (VALUE(REGEXEXTRACT(INDIRECT(""A""&amp;ROW()+1),""\d+""))-1)*7
+ INT((COLUMN()-COLUMN($B463))/3)
"),46656)</f>
        <v>46656</v>
      </c>
      <c r="C463" s="81"/>
      <c r="D463" s="82"/>
      <c r="E463" s="77">
        <f ca="1">IFERROR(__xludf.DUMMYFUNCTION("DATE(VALUE(LEFT($B$2,4)),VALUE(MID($B$2,6,2)),VALUE(RIGHT($B$2,2)))
+ (VALUE(REGEXEXTRACT(INDIRECT(""A""&amp;ROW()+1),""\d+""))-1)*7
+ INT((COLUMN()-COLUMN($B463))/3)
"),46657)</f>
        <v>46657</v>
      </c>
      <c r="F463" s="81"/>
      <c r="G463" s="82"/>
      <c r="H463" s="77">
        <f ca="1">IFERROR(__xludf.DUMMYFUNCTION("DATE(VALUE(LEFT($B$2,4)),VALUE(MID($B$2,6,2)),VALUE(RIGHT($B$2,2)))
+ (VALUE(REGEXEXTRACT(INDIRECT(""A""&amp;ROW()+1),""\d+""))-1)*7
+ INT((COLUMN()-COLUMN($B463))/3)
"),46658)</f>
        <v>46658</v>
      </c>
      <c r="I463" s="81"/>
      <c r="J463" s="82"/>
      <c r="K463" s="77">
        <f ca="1">IFERROR(__xludf.DUMMYFUNCTION("DATE(VALUE(LEFT($B$2,4)),VALUE(MID($B$2,6,2)),VALUE(RIGHT($B$2,2)))
+ (VALUE(REGEXEXTRACT(INDIRECT(""A""&amp;ROW()+1),""\d+""))-1)*7
+ INT((COLUMN()-COLUMN($B463))/3)
"),46659)</f>
        <v>46659</v>
      </c>
      <c r="L463" s="81"/>
      <c r="M463" s="82"/>
      <c r="N463" s="77">
        <f ca="1">IFERROR(__xludf.DUMMYFUNCTION("DATE(VALUE(LEFT($B$2,4)),VALUE(MID($B$2,6,2)),VALUE(RIGHT($B$2,2)))
+ (VALUE(REGEXEXTRACT(INDIRECT(""A""&amp;ROW()+1),""\d+""))-1)*7
+ INT((COLUMN()-COLUMN($B463))/3)
"),46660)</f>
        <v>46660</v>
      </c>
      <c r="O463" s="81"/>
      <c r="P463" s="82"/>
      <c r="Q463" s="77">
        <f ca="1">IFERROR(__xludf.DUMMYFUNCTION("DATE(VALUE(LEFT($B$2,4)),VALUE(MID($B$2,6,2)),VALUE(RIGHT($B$2,2)))
+ (VALUE(REGEXEXTRACT(INDIRECT(""A""&amp;ROW()+1),""\d+""))-1)*7
+ INT((COLUMN()-COLUMN($B463))/3)
"),46661)</f>
        <v>46661</v>
      </c>
      <c r="R463" s="81"/>
      <c r="S463" s="82"/>
      <c r="T463" s="77">
        <f ca="1">IFERROR(__xludf.DUMMYFUNCTION("DATE(VALUE(LEFT($B$2,4)),VALUE(MID($B$2,6,2)),VALUE(RIGHT($B$2,2)))
+ (VALUE(REGEXEXTRACT(INDIRECT(""A""&amp;ROW()+1),""\d+""))-1)*7
+ INT((COLUMN()-COLUMN($B463))/3)
"),46662)</f>
        <v>46662</v>
      </c>
      <c r="U463" s="81"/>
      <c r="V463" s="82"/>
      <c r="W463" s="143"/>
    </row>
    <row r="464" spans="1:23" ht="15.75" customHeight="1">
      <c r="A464" s="51" t="s">
        <v>168</v>
      </c>
      <c r="B464" s="112"/>
      <c r="C464" s="111"/>
      <c r="D464" s="17">
        <f>V462+C464</f>
        <v>-1458</v>
      </c>
      <c r="E464" s="109"/>
      <c r="F464" s="109"/>
      <c r="G464" s="54">
        <f>D474+F464</f>
        <v>-1458</v>
      </c>
      <c r="H464" s="110"/>
      <c r="I464" s="111"/>
      <c r="J464" s="17">
        <f>G474+I464</f>
        <v>-1458</v>
      </c>
      <c r="K464" s="109"/>
      <c r="L464" s="109"/>
      <c r="M464" s="54">
        <f>J474+L464</f>
        <v>-1458</v>
      </c>
      <c r="N464" s="112"/>
      <c r="O464" s="111"/>
      <c r="P464" s="17">
        <f>M474+O464</f>
        <v>-1458</v>
      </c>
      <c r="Q464" s="109"/>
      <c r="R464" s="109"/>
      <c r="S464" s="35">
        <f>P474+R464</f>
        <v>-1458</v>
      </c>
      <c r="T464" s="112"/>
      <c r="U464" s="111"/>
      <c r="V464" s="48">
        <f>S474+U464</f>
        <v>-1458</v>
      </c>
      <c r="W464" s="143"/>
    </row>
    <row r="465" spans="1:23" ht="15.75" customHeight="1">
      <c r="A465" s="114"/>
      <c r="B465" s="106"/>
      <c r="C465" s="107"/>
      <c r="D465" s="26">
        <f t="shared" ref="D465:D474" si="273">D464+C465</f>
        <v>-1458</v>
      </c>
      <c r="E465" s="117"/>
      <c r="F465" s="117"/>
      <c r="G465" s="19">
        <f t="shared" ref="G465:G474" si="274">G464+F465</f>
        <v>-1458</v>
      </c>
      <c r="H465" s="116"/>
      <c r="I465" s="107"/>
      <c r="J465" s="26">
        <f t="shared" ref="J465:J474" si="275">J464+I465</f>
        <v>-1458</v>
      </c>
      <c r="K465" s="117"/>
      <c r="L465" s="117"/>
      <c r="M465" s="19">
        <f t="shared" ref="M465:M474" si="276">M464+L465</f>
        <v>-1458</v>
      </c>
      <c r="N465" s="106"/>
      <c r="O465" s="107"/>
      <c r="P465" s="26">
        <f t="shared" ref="P465:P474" si="277">P464+O465</f>
        <v>-1458</v>
      </c>
      <c r="Q465" s="117"/>
      <c r="R465" s="117"/>
      <c r="S465" s="38">
        <f t="shared" ref="S465:S474" si="278">S464+R465</f>
        <v>-1458</v>
      </c>
      <c r="T465" s="106"/>
      <c r="U465" s="107"/>
      <c r="V465" s="20">
        <f t="shared" ref="V465:V474" si="279">V464+U465</f>
        <v>-1458</v>
      </c>
      <c r="W465" s="143"/>
    </row>
    <row r="466" spans="1:23" ht="15.75" customHeight="1">
      <c r="A466" s="114"/>
      <c r="B466" s="106"/>
      <c r="C466" s="107"/>
      <c r="D466" s="26">
        <f t="shared" si="273"/>
        <v>-1458</v>
      </c>
      <c r="E466" s="117"/>
      <c r="F466" s="117"/>
      <c r="G466" s="19">
        <f t="shared" si="274"/>
        <v>-1458</v>
      </c>
      <c r="H466" s="116"/>
      <c r="I466" s="107"/>
      <c r="J466" s="26">
        <f t="shared" si="275"/>
        <v>-1458</v>
      </c>
      <c r="K466" s="117"/>
      <c r="L466" s="117"/>
      <c r="M466" s="19">
        <f t="shared" si="276"/>
        <v>-1458</v>
      </c>
      <c r="N466" s="106"/>
      <c r="O466" s="107"/>
      <c r="P466" s="26">
        <f t="shared" si="277"/>
        <v>-1458</v>
      </c>
      <c r="Q466" s="117"/>
      <c r="R466" s="117"/>
      <c r="S466" s="38">
        <f t="shared" si="278"/>
        <v>-1458</v>
      </c>
      <c r="T466" s="106"/>
      <c r="U466" s="116"/>
      <c r="V466" s="20">
        <f t="shared" si="279"/>
        <v>-1458</v>
      </c>
      <c r="W466" s="143"/>
    </row>
    <row r="467" spans="1:23" ht="15.75" customHeight="1">
      <c r="A467" s="114"/>
      <c r="B467" s="106"/>
      <c r="C467" s="107"/>
      <c r="D467" s="26">
        <f t="shared" si="273"/>
        <v>-1458</v>
      </c>
      <c r="E467" s="117"/>
      <c r="F467" s="117"/>
      <c r="G467" s="19">
        <f t="shared" si="274"/>
        <v>-1458</v>
      </c>
      <c r="H467" s="116"/>
      <c r="I467" s="107"/>
      <c r="J467" s="26">
        <f t="shared" si="275"/>
        <v>-1458</v>
      </c>
      <c r="K467" s="117"/>
      <c r="L467" s="117"/>
      <c r="M467" s="19">
        <f t="shared" si="276"/>
        <v>-1458</v>
      </c>
      <c r="N467" s="106"/>
      <c r="O467" s="107"/>
      <c r="P467" s="26">
        <f t="shared" si="277"/>
        <v>-1458</v>
      </c>
      <c r="Q467" s="117"/>
      <c r="R467" s="117"/>
      <c r="S467" s="38">
        <f t="shared" si="278"/>
        <v>-1458</v>
      </c>
      <c r="T467" s="106"/>
      <c r="U467" s="116"/>
      <c r="V467" s="20">
        <f t="shared" si="279"/>
        <v>-1458</v>
      </c>
      <c r="W467" s="143"/>
    </row>
    <row r="468" spans="1:23" ht="15.75" customHeight="1">
      <c r="A468" s="114"/>
      <c r="B468" s="106"/>
      <c r="C468" s="107"/>
      <c r="D468" s="26">
        <f t="shared" si="273"/>
        <v>-1458</v>
      </c>
      <c r="E468" s="117"/>
      <c r="F468" s="117"/>
      <c r="G468" s="19">
        <f t="shared" si="274"/>
        <v>-1458</v>
      </c>
      <c r="H468" s="116"/>
      <c r="I468" s="107"/>
      <c r="J468" s="26">
        <f t="shared" si="275"/>
        <v>-1458</v>
      </c>
      <c r="K468" s="117"/>
      <c r="L468" s="117"/>
      <c r="M468" s="19">
        <f t="shared" si="276"/>
        <v>-1458</v>
      </c>
      <c r="N468" s="116"/>
      <c r="O468" s="107"/>
      <c r="P468" s="26">
        <f t="shared" si="277"/>
        <v>-1458</v>
      </c>
      <c r="Q468" s="117"/>
      <c r="R468" s="117"/>
      <c r="S468" s="38">
        <f t="shared" si="278"/>
        <v>-1458</v>
      </c>
      <c r="T468" s="106"/>
      <c r="U468" s="116"/>
      <c r="V468" s="20">
        <f t="shared" si="279"/>
        <v>-1458</v>
      </c>
      <c r="W468" s="143"/>
    </row>
    <row r="469" spans="1:23" ht="15.75" customHeight="1">
      <c r="A469" s="114"/>
      <c r="B469" s="106"/>
      <c r="C469" s="107"/>
      <c r="D469" s="26">
        <f t="shared" si="273"/>
        <v>-1458</v>
      </c>
      <c r="E469" s="117"/>
      <c r="F469" s="117"/>
      <c r="G469" s="19">
        <f t="shared" si="274"/>
        <v>-1458</v>
      </c>
      <c r="H469" s="116"/>
      <c r="I469" s="107"/>
      <c r="J469" s="26">
        <f t="shared" si="275"/>
        <v>-1458</v>
      </c>
      <c r="K469" s="117"/>
      <c r="L469" s="117"/>
      <c r="M469" s="19">
        <f t="shared" si="276"/>
        <v>-1458</v>
      </c>
      <c r="N469" s="116"/>
      <c r="O469" s="107"/>
      <c r="P469" s="26">
        <f t="shared" si="277"/>
        <v>-1458</v>
      </c>
      <c r="Q469" s="117"/>
      <c r="R469" s="117"/>
      <c r="S469" s="38">
        <f t="shared" si="278"/>
        <v>-1458</v>
      </c>
      <c r="T469" s="106"/>
      <c r="U469" s="116"/>
      <c r="V469" s="20">
        <f t="shared" si="279"/>
        <v>-1458</v>
      </c>
      <c r="W469" s="143"/>
    </row>
    <row r="470" spans="1:23" ht="15.75" customHeight="1">
      <c r="A470" s="114"/>
      <c r="B470" s="122"/>
      <c r="C470" s="123"/>
      <c r="D470" s="26">
        <f t="shared" si="273"/>
        <v>-1458</v>
      </c>
      <c r="E470" s="117"/>
      <c r="F470" s="117"/>
      <c r="G470" s="19">
        <f t="shared" si="274"/>
        <v>-1458</v>
      </c>
      <c r="H470" s="116"/>
      <c r="I470" s="107"/>
      <c r="J470" s="26">
        <f t="shared" si="275"/>
        <v>-1458</v>
      </c>
      <c r="K470" s="117"/>
      <c r="L470" s="117"/>
      <c r="M470" s="38">
        <f t="shared" si="276"/>
        <v>-1458</v>
      </c>
      <c r="N470" s="106"/>
      <c r="O470" s="107"/>
      <c r="P470" s="26">
        <f t="shared" si="277"/>
        <v>-1458</v>
      </c>
      <c r="Q470" s="117"/>
      <c r="R470" s="117"/>
      <c r="S470" s="38">
        <f t="shared" si="278"/>
        <v>-1458</v>
      </c>
      <c r="T470" s="106"/>
      <c r="U470" s="116"/>
      <c r="V470" s="20">
        <f t="shared" si="279"/>
        <v>-1458</v>
      </c>
      <c r="W470" s="143"/>
    </row>
    <row r="471" spans="1:23" ht="15.75" customHeight="1">
      <c r="A471" s="114"/>
      <c r="B471" s="122"/>
      <c r="C471" s="123"/>
      <c r="D471" s="26">
        <f t="shared" si="273"/>
        <v>-1458</v>
      </c>
      <c r="E471" s="117"/>
      <c r="F471" s="117"/>
      <c r="G471" s="19">
        <f t="shared" si="274"/>
        <v>-1458</v>
      </c>
      <c r="H471" s="116"/>
      <c r="I471" s="107"/>
      <c r="J471" s="26">
        <f t="shared" si="275"/>
        <v>-1458</v>
      </c>
      <c r="K471" s="117"/>
      <c r="L471" s="117"/>
      <c r="M471" s="38">
        <f t="shared" si="276"/>
        <v>-1458</v>
      </c>
      <c r="N471" s="106"/>
      <c r="O471" s="107"/>
      <c r="P471" s="26">
        <f t="shared" si="277"/>
        <v>-1458</v>
      </c>
      <c r="Q471" s="117"/>
      <c r="R471" s="117"/>
      <c r="S471" s="38">
        <f t="shared" si="278"/>
        <v>-1458</v>
      </c>
      <c r="T471" s="106"/>
      <c r="U471" s="116"/>
      <c r="V471" s="20">
        <f t="shared" si="279"/>
        <v>-1458</v>
      </c>
      <c r="W471" s="143"/>
    </row>
    <row r="472" spans="1:23" ht="15.75" customHeight="1">
      <c r="A472" s="114"/>
      <c r="B472" s="122"/>
      <c r="C472" s="123"/>
      <c r="D472" s="26">
        <f t="shared" si="273"/>
        <v>-1458</v>
      </c>
      <c r="E472" s="117"/>
      <c r="F472" s="117"/>
      <c r="G472" s="19">
        <f t="shared" si="274"/>
        <v>-1458</v>
      </c>
      <c r="H472" s="124"/>
      <c r="I472" s="123"/>
      <c r="J472" s="26">
        <f t="shared" si="275"/>
        <v>-1458</v>
      </c>
      <c r="K472" s="117"/>
      <c r="L472" s="117"/>
      <c r="M472" s="38">
        <f t="shared" si="276"/>
        <v>-1458</v>
      </c>
      <c r="N472" s="122"/>
      <c r="O472" s="123"/>
      <c r="P472" s="26">
        <f t="shared" si="277"/>
        <v>-1458</v>
      </c>
      <c r="Q472" s="117"/>
      <c r="R472" s="117"/>
      <c r="S472" s="38">
        <f t="shared" si="278"/>
        <v>-1458</v>
      </c>
      <c r="T472" s="106"/>
      <c r="U472" s="116"/>
      <c r="V472" s="20">
        <f t="shared" si="279"/>
        <v>-1458</v>
      </c>
      <c r="W472" s="143"/>
    </row>
    <row r="473" spans="1:23" ht="15.75" customHeight="1">
      <c r="A473" s="114"/>
      <c r="B473" s="122"/>
      <c r="C473" s="123"/>
      <c r="D473" s="26">
        <f t="shared" si="273"/>
        <v>-1458</v>
      </c>
      <c r="E473" s="117"/>
      <c r="F473" s="117"/>
      <c r="G473" s="19">
        <f t="shared" si="274"/>
        <v>-1458</v>
      </c>
      <c r="H473" s="124"/>
      <c r="I473" s="123"/>
      <c r="J473" s="26">
        <f t="shared" si="275"/>
        <v>-1458</v>
      </c>
      <c r="K473" s="117"/>
      <c r="L473" s="117"/>
      <c r="M473" s="38">
        <f t="shared" si="276"/>
        <v>-1458</v>
      </c>
      <c r="N473" s="122"/>
      <c r="O473" s="123"/>
      <c r="P473" s="26">
        <f t="shared" si="277"/>
        <v>-1458</v>
      </c>
      <c r="Q473" s="117"/>
      <c r="R473" s="117"/>
      <c r="S473" s="38">
        <f t="shared" si="278"/>
        <v>-1458</v>
      </c>
      <c r="T473" s="122"/>
      <c r="U473" s="124"/>
      <c r="V473" s="20">
        <f t="shared" si="279"/>
        <v>-1458</v>
      </c>
      <c r="W473" s="143"/>
    </row>
    <row r="474" spans="1:23" ht="15.75" customHeight="1">
      <c r="A474" s="114"/>
      <c r="B474" s="122"/>
      <c r="C474" s="123"/>
      <c r="D474" s="39">
        <f t="shared" si="273"/>
        <v>-1458</v>
      </c>
      <c r="E474" s="128"/>
      <c r="F474" s="128"/>
      <c r="G474" s="55">
        <f t="shared" si="274"/>
        <v>-1458</v>
      </c>
      <c r="H474" s="124"/>
      <c r="I474" s="123"/>
      <c r="J474" s="39">
        <f t="shared" si="275"/>
        <v>-1458</v>
      </c>
      <c r="K474" s="128"/>
      <c r="L474" s="128"/>
      <c r="M474" s="40">
        <f t="shared" si="276"/>
        <v>-1458</v>
      </c>
      <c r="N474" s="122"/>
      <c r="O474" s="123"/>
      <c r="P474" s="39">
        <f t="shared" si="277"/>
        <v>-1458</v>
      </c>
      <c r="Q474" s="128"/>
      <c r="R474" s="128"/>
      <c r="S474" s="40">
        <f t="shared" si="278"/>
        <v>-1458</v>
      </c>
      <c r="T474" s="122"/>
      <c r="U474" s="123"/>
      <c r="V474" s="49">
        <f t="shared" si="279"/>
        <v>-1458</v>
      </c>
      <c r="W474" s="143"/>
    </row>
    <row r="475" spans="1:23" ht="15.75" customHeight="1">
      <c r="A475" s="87"/>
      <c r="B475" s="77">
        <f ca="1">IFERROR(__xludf.DUMMYFUNCTION("DATE(VALUE(LEFT($B$2,4)),VALUE(MID($B$2,6,2)),VALUE(RIGHT($B$2,2)))
+ (VALUE(REGEXEXTRACT(INDIRECT(""A""&amp;ROW()+1),""\d+""))-1)*7
+ INT((COLUMN()-COLUMN($B475))/3)
"),46663)</f>
        <v>46663</v>
      </c>
      <c r="C475" s="81"/>
      <c r="D475" s="82"/>
      <c r="E475" s="77">
        <f ca="1">IFERROR(__xludf.DUMMYFUNCTION("DATE(VALUE(LEFT($B$2,4)),VALUE(MID($B$2,6,2)),VALUE(RIGHT($B$2,2)))
+ (VALUE(REGEXEXTRACT(INDIRECT(""A""&amp;ROW()+1),""\d+""))-1)*7
+ INT((COLUMN()-COLUMN($B475))/3)
"),46664)</f>
        <v>46664</v>
      </c>
      <c r="F475" s="81"/>
      <c r="G475" s="82"/>
      <c r="H475" s="77">
        <f ca="1">IFERROR(__xludf.DUMMYFUNCTION("DATE(VALUE(LEFT($B$2,4)),VALUE(MID($B$2,6,2)),VALUE(RIGHT($B$2,2)))
+ (VALUE(REGEXEXTRACT(INDIRECT(""A""&amp;ROW()+1),""\d+""))-1)*7
+ INT((COLUMN()-COLUMN($B475))/3)
"),46665)</f>
        <v>46665</v>
      </c>
      <c r="I475" s="81"/>
      <c r="J475" s="82"/>
      <c r="K475" s="77">
        <f ca="1">IFERROR(__xludf.DUMMYFUNCTION("DATE(VALUE(LEFT($B$2,4)),VALUE(MID($B$2,6,2)),VALUE(RIGHT($B$2,2)))
+ (VALUE(REGEXEXTRACT(INDIRECT(""A""&amp;ROW()+1),""\d+""))-1)*7
+ INT((COLUMN()-COLUMN($B475))/3)
"),46666)</f>
        <v>46666</v>
      </c>
      <c r="L475" s="81"/>
      <c r="M475" s="82"/>
      <c r="N475" s="77">
        <f ca="1">IFERROR(__xludf.DUMMYFUNCTION("DATE(VALUE(LEFT($B$2,4)),VALUE(MID($B$2,6,2)),VALUE(RIGHT($B$2,2)))
+ (VALUE(REGEXEXTRACT(INDIRECT(""A""&amp;ROW()+1),""\d+""))-1)*7
+ INT((COLUMN()-COLUMN($B475))/3)
"),46667)</f>
        <v>46667</v>
      </c>
      <c r="O475" s="81"/>
      <c r="P475" s="82"/>
      <c r="Q475" s="77">
        <f ca="1">IFERROR(__xludf.DUMMYFUNCTION("DATE(VALUE(LEFT($B$2,4)),VALUE(MID($B$2,6,2)),VALUE(RIGHT($B$2,2)))
+ (VALUE(REGEXEXTRACT(INDIRECT(""A""&amp;ROW()+1),""\d+""))-1)*7
+ INT((COLUMN()-COLUMN($B475))/3)
"),46668)</f>
        <v>46668</v>
      </c>
      <c r="R475" s="81"/>
      <c r="S475" s="82"/>
      <c r="T475" s="77">
        <f ca="1">IFERROR(__xludf.DUMMYFUNCTION("DATE(VALUE(LEFT($B$2,4)),VALUE(MID($B$2,6,2)),VALUE(RIGHT($B$2,2)))
+ (VALUE(REGEXEXTRACT(INDIRECT(""A""&amp;ROW()+1),""\d+""))-1)*7
+ INT((COLUMN()-COLUMN($B475))/3)
"),46669)</f>
        <v>46669</v>
      </c>
      <c r="U475" s="81"/>
      <c r="V475" s="82"/>
      <c r="W475" s="52" t="s">
        <v>20</v>
      </c>
    </row>
    <row r="476" spans="1:23" ht="15.75" customHeight="1">
      <c r="A476" s="47" t="s">
        <v>169</v>
      </c>
      <c r="B476" s="113"/>
      <c r="C476" s="109"/>
      <c r="D476" s="42">
        <f>V474+C476</f>
        <v>-1458</v>
      </c>
      <c r="E476" s="112"/>
      <c r="F476" s="111"/>
      <c r="G476" s="36">
        <f>D486+F476</f>
        <v>-1458</v>
      </c>
      <c r="H476" s="132"/>
      <c r="I476" s="109"/>
      <c r="J476" s="42">
        <f>G486+I476</f>
        <v>-1458</v>
      </c>
      <c r="K476" s="112"/>
      <c r="L476" s="111"/>
      <c r="M476" s="18">
        <f>J486+L476</f>
        <v>-1458</v>
      </c>
      <c r="N476" s="113"/>
      <c r="O476" s="109"/>
      <c r="P476" s="35">
        <f>M486+O476</f>
        <v>-1458</v>
      </c>
      <c r="Q476" s="112"/>
      <c r="R476" s="111"/>
      <c r="S476" s="18">
        <f>P486+R476</f>
        <v>-1458</v>
      </c>
      <c r="T476" s="173"/>
      <c r="U476" s="173"/>
      <c r="V476" s="50">
        <f>S486+U476</f>
        <v>-1458</v>
      </c>
      <c r="W476" s="172"/>
    </row>
    <row r="477" spans="1:23" ht="15.75" customHeight="1">
      <c r="A477" s="114"/>
      <c r="B477" s="118"/>
      <c r="C477" s="117"/>
      <c r="D477" s="19">
        <f t="shared" ref="D477:D486" si="280">D476+C477</f>
        <v>-1458</v>
      </c>
      <c r="E477" s="106"/>
      <c r="F477" s="107"/>
      <c r="G477" s="26">
        <f t="shared" ref="G477:G486" si="281">G476+F477</f>
        <v>-1458</v>
      </c>
      <c r="H477" s="133"/>
      <c r="I477" s="117"/>
      <c r="J477" s="19">
        <f t="shared" ref="J477:J486" si="282">J476+I477</f>
        <v>-1458</v>
      </c>
      <c r="K477" s="106"/>
      <c r="L477" s="107"/>
      <c r="M477" s="26">
        <f t="shared" ref="M477:M486" si="283">M476+L477</f>
        <v>-1458</v>
      </c>
      <c r="N477" s="118"/>
      <c r="O477" s="117"/>
      <c r="P477" s="38">
        <f t="shared" ref="P477:P486" si="284">P476+O477</f>
        <v>-1458</v>
      </c>
      <c r="Q477" s="106"/>
      <c r="R477" s="107"/>
      <c r="S477" s="26">
        <f t="shared" ref="S477:S486" si="285">S476+R477</f>
        <v>-1458</v>
      </c>
      <c r="T477" s="136"/>
      <c r="U477" s="136"/>
      <c r="V477" s="45">
        <f t="shared" ref="V477:V486" si="286">V476+U477</f>
        <v>-1458</v>
      </c>
      <c r="W477" s="143"/>
    </row>
    <row r="478" spans="1:23" ht="15.75" customHeight="1">
      <c r="A478" s="114"/>
      <c r="B478" s="118"/>
      <c r="C478" s="117"/>
      <c r="D478" s="19">
        <f t="shared" si="280"/>
        <v>-1458</v>
      </c>
      <c r="E478" s="106"/>
      <c r="F478" s="107"/>
      <c r="G478" s="26">
        <f t="shared" si="281"/>
        <v>-1458</v>
      </c>
      <c r="H478" s="133"/>
      <c r="I478" s="117"/>
      <c r="J478" s="19">
        <f t="shared" si="282"/>
        <v>-1458</v>
      </c>
      <c r="K478" s="106"/>
      <c r="L478" s="107"/>
      <c r="M478" s="26">
        <f t="shared" si="283"/>
        <v>-1458</v>
      </c>
      <c r="N478" s="117"/>
      <c r="O478" s="117"/>
      <c r="P478" s="38">
        <f t="shared" si="284"/>
        <v>-1458</v>
      </c>
      <c r="Q478" s="106"/>
      <c r="R478" s="107"/>
      <c r="S478" s="26">
        <f t="shared" si="285"/>
        <v>-1458</v>
      </c>
      <c r="T478" s="136"/>
      <c r="U478" s="136"/>
      <c r="V478" s="45">
        <f t="shared" si="286"/>
        <v>-1458</v>
      </c>
      <c r="W478" s="143"/>
    </row>
    <row r="479" spans="1:23" ht="15.75" customHeight="1">
      <c r="A479" s="114"/>
      <c r="B479" s="118"/>
      <c r="C479" s="117"/>
      <c r="D479" s="19">
        <f t="shared" si="280"/>
        <v>-1458</v>
      </c>
      <c r="E479" s="106"/>
      <c r="F479" s="107"/>
      <c r="G479" s="26">
        <f t="shared" si="281"/>
        <v>-1458</v>
      </c>
      <c r="H479" s="133"/>
      <c r="I479" s="117"/>
      <c r="J479" s="19">
        <f t="shared" si="282"/>
        <v>-1458</v>
      </c>
      <c r="K479" s="106"/>
      <c r="L479" s="107"/>
      <c r="M479" s="26">
        <f t="shared" si="283"/>
        <v>-1458</v>
      </c>
      <c r="N479" s="117"/>
      <c r="O479" s="117"/>
      <c r="P479" s="38">
        <f t="shared" si="284"/>
        <v>-1458</v>
      </c>
      <c r="Q479" s="106"/>
      <c r="R479" s="107"/>
      <c r="S479" s="26">
        <f t="shared" si="285"/>
        <v>-1458</v>
      </c>
      <c r="T479" s="136"/>
      <c r="U479" s="136"/>
      <c r="V479" s="45">
        <f t="shared" si="286"/>
        <v>-1458</v>
      </c>
      <c r="W479" s="143"/>
    </row>
    <row r="480" spans="1:23" ht="15.75" customHeight="1">
      <c r="A480" s="114"/>
      <c r="B480" s="118"/>
      <c r="C480" s="117"/>
      <c r="D480" s="19">
        <f t="shared" si="280"/>
        <v>-1458</v>
      </c>
      <c r="E480" s="106"/>
      <c r="F480" s="107"/>
      <c r="G480" s="26">
        <f t="shared" si="281"/>
        <v>-1458</v>
      </c>
      <c r="H480" s="133"/>
      <c r="I480" s="117"/>
      <c r="J480" s="19">
        <f t="shared" si="282"/>
        <v>-1458</v>
      </c>
      <c r="K480" s="106"/>
      <c r="L480" s="107"/>
      <c r="M480" s="26">
        <f t="shared" si="283"/>
        <v>-1458</v>
      </c>
      <c r="N480" s="117"/>
      <c r="O480" s="117"/>
      <c r="P480" s="38">
        <f t="shared" si="284"/>
        <v>-1458</v>
      </c>
      <c r="Q480" s="106"/>
      <c r="R480" s="107"/>
      <c r="S480" s="26">
        <f t="shared" si="285"/>
        <v>-1458</v>
      </c>
      <c r="T480" s="136"/>
      <c r="U480" s="136"/>
      <c r="V480" s="45">
        <f t="shared" si="286"/>
        <v>-1458</v>
      </c>
      <c r="W480" s="143"/>
    </row>
    <row r="481" spans="1:23" ht="15.75" customHeight="1">
      <c r="A481" s="114"/>
      <c r="B481" s="118"/>
      <c r="C481" s="117"/>
      <c r="D481" s="19">
        <f t="shared" si="280"/>
        <v>-1458</v>
      </c>
      <c r="E481" s="106"/>
      <c r="F481" s="107"/>
      <c r="G481" s="26">
        <f t="shared" si="281"/>
        <v>-1458</v>
      </c>
      <c r="H481" s="133"/>
      <c r="I481" s="117"/>
      <c r="J481" s="19">
        <f t="shared" si="282"/>
        <v>-1458</v>
      </c>
      <c r="K481" s="106"/>
      <c r="L481" s="107"/>
      <c r="M481" s="26">
        <f t="shared" si="283"/>
        <v>-1458</v>
      </c>
      <c r="N481" s="117"/>
      <c r="O481" s="117"/>
      <c r="P481" s="38">
        <f t="shared" si="284"/>
        <v>-1458</v>
      </c>
      <c r="Q481" s="106"/>
      <c r="R481" s="107"/>
      <c r="S481" s="26">
        <f t="shared" si="285"/>
        <v>-1458</v>
      </c>
      <c r="T481" s="136"/>
      <c r="U481" s="136"/>
      <c r="V481" s="45">
        <f t="shared" si="286"/>
        <v>-1458</v>
      </c>
      <c r="W481" s="143"/>
    </row>
    <row r="482" spans="1:23" ht="15.75" customHeight="1">
      <c r="A482" s="114"/>
      <c r="B482" s="117"/>
      <c r="C482" s="117"/>
      <c r="D482" s="19">
        <f t="shared" si="280"/>
        <v>-1458</v>
      </c>
      <c r="E482" s="106"/>
      <c r="F482" s="107"/>
      <c r="G482" s="26">
        <f t="shared" si="281"/>
        <v>-1458</v>
      </c>
      <c r="H482" s="133"/>
      <c r="I482" s="117"/>
      <c r="J482" s="19">
        <f t="shared" si="282"/>
        <v>-1458</v>
      </c>
      <c r="K482" s="106"/>
      <c r="L482" s="107"/>
      <c r="M482" s="26">
        <f t="shared" si="283"/>
        <v>-1458</v>
      </c>
      <c r="N482" s="117"/>
      <c r="O482" s="117"/>
      <c r="P482" s="38">
        <f t="shared" si="284"/>
        <v>-1458</v>
      </c>
      <c r="Q482" s="106"/>
      <c r="R482" s="107"/>
      <c r="S482" s="26">
        <f t="shared" si="285"/>
        <v>-1458</v>
      </c>
      <c r="T482" s="136"/>
      <c r="U482" s="136"/>
      <c r="V482" s="45">
        <f t="shared" si="286"/>
        <v>-1458</v>
      </c>
      <c r="W482" s="143"/>
    </row>
    <row r="483" spans="1:23" ht="15.75" customHeight="1">
      <c r="A483" s="114"/>
      <c r="B483" s="117"/>
      <c r="C483" s="117"/>
      <c r="D483" s="19">
        <f t="shared" si="280"/>
        <v>-1458</v>
      </c>
      <c r="E483" s="106"/>
      <c r="F483" s="107"/>
      <c r="G483" s="26">
        <f t="shared" si="281"/>
        <v>-1458</v>
      </c>
      <c r="H483" s="133"/>
      <c r="I483" s="117"/>
      <c r="J483" s="19">
        <f t="shared" si="282"/>
        <v>-1458</v>
      </c>
      <c r="K483" s="106"/>
      <c r="L483" s="107"/>
      <c r="M483" s="26">
        <f t="shared" si="283"/>
        <v>-1458</v>
      </c>
      <c r="N483" s="117"/>
      <c r="O483" s="117"/>
      <c r="P483" s="38">
        <f t="shared" si="284"/>
        <v>-1458</v>
      </c>
      <c r="Q483" s="106"/>
      <c r="R483" s="107"/>
      <c r="S483" s="26">
        <f t="shared" si="285"/>
        <v>-1458</v>
      </c>
      <c r="T483" s="136"/>
      <c r="U483" s="136"/>
      <c r="V483" s="45">
        <f t="shared" si="286"/>
        <v>-1458</v>
      </c>
      <c r="W483" s="143"/>
    </row>
    <row r="484" spans="1:23" ht="15.75" customHeight="1">
      <c r="A484" s="114"/>
      <c r="B484" s="117"/>
      <c r="C484" s="117"/>
      <c r="D484" s="19">
        <f t="shared" si="280"/>
        <v>-1458</v>
      </c>
      <c r="E484" s="106"/>
      <c r="F484" s="107"/>
      <c r="G484" s="26">
        <f t="shared" si="281"/>
        <v>-1458</v>
      </c>
      <c r="H484" s="133"/>
      <c r="I484" s="117"/>
      <c r="J484" s="19">
        <f t="shared" si="282"/>
        <v>-1458</v>
      </c>
      <c r="K484" s="106"/>
      <c r="L484" s="107"/>
      <c r="M484" s="26">
        <f t="shared" si="283"/>
        <v>-1458</v>
      </c>
      <c r="N484" s="117"/>
      <c r="O484" s="117"/>
      <c r="P484" s="38">
        <f t="shared" si="284"/>
        <v>-1458</v>
      </c>
      <c r="Q484" s="106"/>
      <c r="R484" s="107"/>
      <c r="S484" s="26">
        <f t="shared" si="285"/>
        <v>-1458</v>
      </c>
      <c r="T484" s="136"/>
      <c r="U484" s="136"/>
      <c r="V484" s="45">
        <f t="shared" si="286"/>
        <v>-1458</v>
      </c>
      <c r="W484" s="143"/>
    </row>
    <row r="485" spans="1:23" ht="15.75" customHeight="1">
      <c r="A485" s="114"/>
      <c r="B485" s="117"/>
      <c r="C485" s="117"/>
      <c r="D485" s="19">
        <f t="shared" si="280"/>
        <v>-1458</v>
      </c>
      <c r="E485" s="122"/>
      <c r="F485" s="123"/>
      <c r="G485" s="26">
        <f t="shared" si="281"/>
        <v>-1458</v>
      </c>
      <c r="H485" s="133"/>
      <c r="I485" s="117"/>
      <c r="J485" s="19">
        <f t="shared" si="282"/>
        <v>-1458</v>
      </c>
      <c r="K485" s="122"/>
      <c r="L485" s="123"/>
      <c r="M485" s="26">
        <f t="shared" si="283"/>
        <v>-1458</v>
      </c>
      <c r="N485" s="117"/>
      <c r="O485" s="117"/>
      <c r="P485" s="38">
        <f t="shared" si="284"/>
        <v>-1458</v>
      </c>
      <c r="Q485" s="122"/>
      <c r="R485" s="123"/>
      <c r="S485" s="26">
        <f t="shared" si="285"/>
        <v>-1458</v>
      </c>
      <c r="T485" s="136"/>
      <c r="U485" s="136"/>
      <c r="V485" s="45">
        <f t="shared" si="286"/>
        <v>-1458</v>
      </c>
      <c r="W485" s="143"/>
    </row>
    <row r="486" spans="1:23" ht="15.75" customHeight="1">
      <c r="A486" s="114"/>
      <c r="B486" s="128"/>
      <c r="C486" s="128"/>
      <c r="D486" s="29">
        <f t="shared" si="280"/>
        <v>-1458</v>
      </c>
      <c r="E486" s="122"/>
      <c r="F486" s="123"/>
      <c r="G486" s="53">
        <f t="shared" si="281"/>
        <v>-1458</v>
      </c>
      <c r="H486" s="140"/>
      <c r="I486" s="128"/>
      <c r="J486" s="29">
        <f t="shared" si="282"/>
        <v>-1458</v>
      </c>
      <c r="K486" s="122"/>
      <c r="L486" s="123"/>
      <c r="M486" s="39">
        <f t="shared" si="283"/>
        <v>-1458</v>
      </c>
      <c r="N486" s="128"/>
      <c r="O486" s="128"/>
      <c r="P486" s="40">
        <f t="shared" si="284"/>
        <v>-1458</v>
      </c>
      <c r="Q486" s="122"/>
      <c r="R486" s="123"/>
      <c r="S486" s="39">
        <f t="shared" si="285"/>
        <v>-1458</v>
      </c>
      <c r="T486" s="141"/>
      <c r="U486" s="141"/>
      <c r="V486" s="46">
        <f t="shared" si="286"/>
        <v>-1458</v>
      </c>
      <c r="W486" s="143"/>
    </row>
    <row r="487" spans="1:23" ht="15.75" customHeight="1">
      <c r="A487" s="87"/>
      <c r="B487" s="77">
        <f ca="1">IFERROR(__xludf.DUMMYFUNCTION("DATE(VALUE(LEFT($B$2,4)),VALUE(MID($B$2,6,2)),VALUE(RIGHT($B$2,2)))
+ (VALUE(REGEXEXTRACT(INDIRECT(""A""&amp;ROW()+1),""\d+""))-1)*7
+ INT((COLUMN()-COLUMN($B487))/3)
"),46670)</f>
        <v>46670</v>
      </c>
      <c r="C487" s="81"/>
      <c r="D487" s="82"/>
      <c r="E487" s="77">
        <f ca="1">IFERROR(__xludf.DUMMYFUNCTION("DATE(VALUE(LEFT($B$2,4)),VALUE(MID($B$2,6,2)),VALUE(RIGHT($B$2,2)))
+ (VALUE(REGEXEXTRACT(INDIRECT(""A""&amp;ROW()+1),""\d+""))-1)*7
+ INT((COLUMN()-COLUMN($B487))/3)
"),46671)</f>
        <v>46671</v>
      </c>
      <c r="F487" s="81"/>
      <c r="G487" s="82"/>
      <c r="H487" s="77">
        <f ca="1">IFERROR(__xludf.DUMMYFUNCTION("DATE(VALUE(LEFT($B$2,4)),VALUE(MID($B$2,6,2)),VALUE(RIGHT($B$2,2)))
+ (VALUE(REGEXEXTRACT(INDIRECT(""A""&amp;ROW()+1),""\d+""))-1)*7
+ INT((COLUMN()-COLUMN($B487))/3)
"),46672)</f>
        <v>46672</v>
      </c>
      <c r="I487" s="81"/>
      <c r="J487" s="82"/>
      <c r="K487" s="77">
        <f ca="1">IFERROR(__xludf.DUMMYFUNCTION("DATE(VALUE(LEFT($B$2,4)),VALUE(MID($B$2,6,2)),VALUE(RIGHT($B$2,2)))
+ (VALUE(REGEXEXTRACT(INDIRECT(""A""&amp;ROW()+1),""\d+""))-1)*7
+ INT((COLUMN()-COLUMN($B487))/3)
"),46673)</f>
        <v>46673</v>
      </c>
      <c r="L487" s="81"/>
      <c r="M487" s="82"/>
      <c r="N487" s="77">
        <f ca="1">IFERROR(__xludf.DUMMYFUNCTION("DATE(VALUE(LEFT($B$2,4)),VALUE(MID($B$2,6,2)),VALUE(RIGHT($B$2,2)))
+ (VALUE(REGEXEXTRACT(INDIRECT(""A""&amp;ROW()+1),""\d+""))-1)*7
+ INT((COLUMN()-COLUMN($B487))/3)
"),46674)</f>
        <v>46674</v>
      </c>
      <c r="O487" s="81"/>
      <c r="P487" s="82"/>
      <c r="Q487" s="77">
        <f ca="1">IFERROR(__xludf.DUMMYFUNCTION("DATE(VALUE(LEFT($B$2,4)),VALUE(MID($B$2,6,2)),VALUE(RIGHT($B$2,2)))
+ (VALUE(REGEXEXTRACT(INDIRECT(""A""&amp;ROW()+1),""\d+""))-1)*7
+ INT((COLUMN()-COLUMN($B487))/3)
"),46675)</f>
        <v>46675</v>
      </c>
      <c r="R487" s="81"/>
      <c r="S487" s="82"/>
      <c r="T487" s="77">
        <f ca="1">IFERROR(__xludf.DUMMYFUNCTION("DATE(VALUE(LEFT($B$2,4)),VALUE(MID($B$2,6,2)),VALUE(RIGHT($B$2,2)))
+ (VALUE(REGEXEXTRACT(INDIRECT(""A""&amp;ROW()+1),""\d+""))-1)*7
+ INT((COLUMN()-COLUMN($B487))/3)
"),46676)</f>
        <v>46676</v>
      </c>
      <c r="U487" s="81"/>
      <c r="V487" s="82"/>
      <c r="W487" s="143"/>
    </row>
    <row r="488" spans="1:23" ht="15.75" customHeight="1">
      <c r="A488" s="51" t="s">
        <v>170</v>
      </c>
      <c r="B488" s="112"/>
      <c r="C488" s="111"/>
      <c r="D488" s="17">
        <f>V486+C488</f>
        <v>-1458</v>
      </c>
      <c r="E488" s="109"/>
      <c r="F488" s="109"/>
      <c r="G488" s="42">
        <f>D498+F488</f>
        <v>-1458</v>
      </c>
      <c r="H488" s="112"/>
      <c r="I488" s="111"/>
      <c r="J488" s="17">
        <f>G498+I488</f>
        <v>-1458</v>
      </c>
      <c r="K488" s="109"/>
      <c r="L488" s="109"/>
      <c r="M488" s="35">
        <f>J498+L488</f>
        <v>-1458</v>
      </c>
      <c r="N488" s="112"/>
      <c r="O488" s="111"/>
      <c r="P488" s="17">
        <f>M498+O488</f>
        <v>-1458</v>
      </c>
      <c r="Q488" s="109"/>
      <c r="R488" s="109"/>
      <c r="S488" s="35">
        <f>P498+R488</f>
        <v>-1458</v>
      </c>
      <c r="T488" s="112"/>
      <c r="U488" s="111"/>
      <c r="V488" s="48">
        <f>S498+U488</f>
        <v>-1458</v>
      </c>
      <c r="W488" s="143"/>
    </row>
    <row r="489" spans="1:23" ht="15.75" customHeight="1">
      <c r="A489" s="114"/>
      <c r="B489" s="106"/>
      <c r="C489" s="107"/>
      <c r="D489" s="26">
        <f t="shared" ref="D489:D498" si="287">D488+C489</f>
        <v>-1458</v>
      </c>
      <c r="E489" s="117"/>
      <c r="F489" s="117"/>
      <c r="G489" s="19">
        <f t="shared" ref="G489:G498" si="288">G488+F489</f>
        <v>-1458</v>
      </c>
      <c r="H489" s="106"/>
      <c r="I489" s="107"/>
      <c r="J489" s="26">
        <f t="shared" ref="J489:J498" si="289">J488+I489</f>
        <v>-1458</v>
      </c>
      <c r="K489" s="117"/>
      <c r="L489" s="117"/>
      <c r="M489" s="38">
        <f t="shared" ref="M489:M498" si="290">M488+L489</f>
        <v>-1458</v>
      </c>
      <c r="N489" s="106"/>
      <c r="O489" s="107"/>
      <c r="P489" s="26">
        <f t="shared" ref="P489:P498" si="291">P488+O489</f>
        <v>-1458</v>
      </c>
      <c r="Q489" s="117"/>
      <c r="R489" s="117"/>
      <c r="S489" s="38">
        <f t="shared" ref="S489:S498" si="292">S488+R489</f>
        <v>-1458</v>
      </c>
      <c r="T489" s="106"/>
      <c r="U489" s="107"/>
      <c r="V489" s="20">
        <f t="shared" ref="V489:V498" si="293">V488+U489</f>
        <v>-1458</v>
      </c>
      <c r="W489" s="143"/>
    </row>
    <row r="490" spans="1:23" ht="15.75" customHeight="1">
      <c r="A490" s="114"/>
      <c r="B490" s="106"/>
      <c r="C490" s="107"/>
      <c r="D490" s="26">
        <f t="shared" si="287"/>
        <v>-1458</v>
      </c>
      <c r="E490" s="117"/>
      <c r="F490" s="117"/>
      <c r="G490" s="19">
        <f t="shared" si="288"/>
        <v>-1458</v>
      </c>
      <c r="H490" s="106"/>
      <c r="I490" s="107"/>
      <c r="J490" s="26">
        <f t="shared" si="289"/>
        <v>-1458</v>
      </c>
      <c r="K490" s="117"/>
      <c r="L490" s="117"/>
      <c r="M490" s="38">
        <f t="shared" si="290"/>
        <v>-1458</v>
      </c>
      <c r="N490" s="106"/>
      <c r="O490" s="107"/>
      <c r="P490" s="26">
        <f t="shared" si="291"/>
        <v>-1458</v>
      </c>
      <c r="Q490" s="117"/>
      <c r="R490" s="117"/>
      <c r="S490" s="38">
        <f t="shared" si="292"/>
        <v>-1458</v>
      </c>
      <c r="T490" s="106"/>
      <c r="U490" s="116"/>
      <c r="V490" s="20">
        <f t="shared" si="293"/>
        <v>-1458</v>
      </c>
      <c r="W490" s="143"/>
    </row>
    <row r="491" spans="1:23" ht="15.75" customHeight="1">
      <c r="A491" s="114"/>
      <c r="B491" s="106"/>
      <c r="C491" s="107"/>
      <c r="D491" s="26">
        <f t="shared" si="287"/>
        <v>-1458</v>
      </c>
      <c r="E491" s="117"/>
      <c r="F491" s="117"/>
      <c r="G491" s="19">
        <f t="shared" si="288"/>
        <v>-1458</v>
      </c>
      <c r="H491" s="106"/>
      <c r="I491" s="107"/>
      <c r="J491" s="26">
        <f t="shared" si="289"/>
        <v>-1458</v>
      </c>
      <c r="K491" s="117"/>
      <c r="L491" s="117"/>
      <c r="M491" s="38">
        <f t="shared" si="290"/>
        <v>-1458</v>
      </c>
      <c r="N491" s="106"/>
      <c r="O491" s="107"/>
      <c r="P491" s="26">
        <f t="shared" si="291"/>
        <v>-1458</v>
      </c>
      <c r="Q491" s="117"/>
      <c r="R491" s="117"/>
      <c r="S491" s="38">
        <f t="shared" si="292"/>
        <v>-1458</v>
      </c>
      <c r="T491" s="106"/>
      <c r="U491" s="116"/>
      <c r="V491" s="20">
        <f t="shared" si="293"/>
        <v>-1458</v>
      </c>
      <c r="W491" s="143"/>
    </row>
    <row r="492" spans="1:23" ht="15.75" customHeight="1">
      <c r="A492" s="114"/>
      <c r="B492" s="106"/>
      <c r="C492" s="107"/>
      <c r="D492" s="26">
        <f t="shared" si="287"/>
        <v>-1458</v>
      </c>
      <c r="E492" s="117"/>
      <c r="F492" s="117"/>
      <c r="G492" s="19">
        <f t="shared" si="288"/>
        <v>-1458</v>
      </c>
      <c r="H492" s="106"/>
      <c r="I492" s="107"/>
      <c r="J492" s="26">
        <f t="shared" si="289"/>
        <v>-1458</v>
      </c>
      <c r="K492" s="117"/>
      <c r="L492" s="117"/>
      <c r="M492" s="38">
        <f t="shared" si="290"/>
        <v>-1458</v>
      </c>
      <c r="N492" s="106"/>
      <c r="O492" s="107"/>
      <c r="P492" s="26">
        <f t="shared" si="291"/>
        <v>-1458</v>
      </c>
      <c r="Q492" s="117"/>
      <c r="R492" s="117"/>
      <c r="S492" s="38">
        <f t="shared" si="292"/>
        <v>-1458</v>
      </c>
      <c r="T492" s="106"/>
      <c r="U492" s="116"/>
      <c r="V492" s="20">
        <f t="shared" si="293"/>
        <v>-1458</v>
      </c>
      <c r="W492" s="143"/>
    </row>
    <row r="493" spans="1:23" ht="15.75" customHeight="1">
      <c r="A493" s="114"/>
      <c r="B493" s="106"/>
      <c r="C493" s="107"/>
      <c r="D493" s="26">
        <f t="shared" si="287"/>
        <v>-1458</v>
      </c>
      <c r="E493" s="117"/>
      <c r="F493" s="117"/>
      <c r="G493" s="19">
        <f t="shared" si="288"/>
        <v>-1458</v>
      </c>
      <c r="H493" s="106"/>
      <c r="I493" s="107"/>
      <c r="J493" s="26">
        <f t="shared" si="289"/>
        <v>-1458</v>
      </c>
      <c r="K493" s="117"/>
      <c r="L493" s="117"/>
      <c r="M493" s="38">
        <f t="shared" si="290"/>
        <v>-1458</v>
      </c>
      <c r="N493" s="106"/>
      <c r="O493" s="107"/>
      <c r="P493" s="26">
        <f t="shared" si="291"/>
        <v>-1458</v>
      </c>
      <c r="Q493" s="117"/>
      <c r="R493" s="117"/>
      <c r="S493" s="38">
        <f t="shared" si="292"/>
        <v>-1458</v>
      </c>
      <c r="T493" s="106"/>
      <c r="U493" s="116"/>
      <c r="V493" s="20">
        <f t="shared" si="293"/>
        <v>-1458</v>
      </c>
      <c r="W493" s="143"/>
    </row>
    <row r="494" spans="1:23" ht="15.75" customHeight="1">
      <c r="A494" s="114"/>
      <c r="B494" s="106"/>
      <c r="C494" s="107"/>
      <c r="D494" s="26">
        <f t="shared" si="287"/>
        <v>-1458</v>
      </c>
      <c r="E494" s="117"/>
      <c r="F494" s="117"/>
      <c r="G494" s="19">
        <f t="shared" si="288"/>
        <v>-1458</v>
      </c>
      <c r="H494" s="106"/>
      <c r="I494" s="107"/>
      <c r="J494" s="26">
        <f t="shared" si="289"/>
        <v>-1458</v>
      </c>
      <c r="K494" s="117"/>
      <c r="L494" s="117"/>
      <c r="M494" s="38">
        <f t="shared" si="290"/>
        <v>-1458</v>
      </c>
      <c r="N494" s="106"/>
      <c r="O494" s="107"/>
      <c r="P494" s="26">
        <f t="shared" si="291"/>
        <v>-1458</v>
      </c>
      <c r="Q494" s="117"/>
      <c r="R494" s="117"/>
      <c r="S494" s="38">
        <f t="shared" si="292"/>
        <v>-1458</v>
      </c>
      <c r="T494" s="106"/>
      <c r="U494" s="116"/>
      <c r="V494" s="20">
        <f t="shared" si="293"/>
        <v>-1458</v>
      </c>
      <c r="W494" s="143"/>
    </row>
    <row r="495" spans="1:23" ht="15.75" customHeight="1">
      <c r="A495" s="114"/>
      <c r="B495" s="106"/>
      <c r="C495" s="107"/>
      <c r="D495" s="26">
        <f t="shared" si="287"/>
        <v>-1458</v>
      </c>
      <c r="E495" s="117"/>
      <c r="F495" s="117"/>
      <c r="G495" s="19">
        <f t="shared" si="288"/>
        <v>-1458</v>
      </c>
      <c r="H495" s="106"/>
      <c r="I495" s="107"/>
      <c r="J495" s="26">
        <f t="shared" si="289"/>
        <v>-1458</v>
      </c>
      <c r="K495" s="117"/>
      <c r="L495" s="117"/>
      <c r="M495" s="38">
        <f t="shared" si="290"/>
        <v>-1458</v>
      </c>
      <c r="N495" s="106"/>
      <c r="O495" s="107"/>
      <c r="P495" s="26">
        <f t="shared" si="291"/>
        <v>-1458</v>
      </c>
      <c r="Q495" s="117"/>
      <c r="R495" s="117"/>
      <c r="S495" s="38">
        <f t="shared" si="292"/>
        <v>-1458</v>
      </c>
      <c r="T495" s="106"/>
      <c r="U495" s="116"/>
      <c r="V495" s="20">
        <f t="shared" si="293"/>
        <v>-1458</v>
      </c>
      <c r="W495" s="143"/>
    </row>
    <row r="496" spans="1:23" ht="15.75" customHeight="1">
      <c r="A496" s="114"/>
      <c r="B496" s="106"/>
      <c r="C496" s="107"/>
      <c r="D496" s="26">
        <f t="shared" si="287"/>
        <v>-1458</v>
      </c>
      <c r="E496" s="117"/>
      <c r="F496" s="117"/>
      <c r="G496" s="19">
        <f t="shared" si="288"/>
        <v>-1458</v>
      </c>
      <c r="H496" s="122"/>
      <c r="I496" s="123"/>
      <c r="J496" s="26">
        <f t="shared" si="289"/>
        <v>-1458</v>
      </c>
      <c r="K496" s="117"/>
      <c r="L496" s="117"/>
      <c r="M496" s="38">
        <f t="shared" si="290"/>
        <v>-1458</v>
      </c>
      <c r="N496" s="122"/>
      <c r="O496" s="123"/>
      <c r="P496" s="26">
        <f t="shared" si="291"/>
        <v>-1458</v>
      </c>
      <c r="Q496" s="117"/>
      <c r="R496" s="117"/>
      <c r="S496" s="38">
        <f t="shared" si="292"/>
        <v>-1458</v>
      </c>
      <c r="T496" s="106"/>
      <c r="U496" s="116"/>
      <c r="V496" s="20">
        <f t="shared" si="293"/>
        <v>-1458</v>
      </c>
      <c r="W496" s="143"/>
    </row>
    <row r="497" spans="1:23" ht="15.75" customHeight="1">
      <c r="A497" s="114"/>
      <c r="B497" s="106"/>
      <c r="C497" s="107"/>
      <c r="D497" s="26">
        <f t="shared" si="287"/>
        <v>-1458</v>
      </c>
      <c r="E497" s="117"/>
      <c r="F497" s="117"/>
      <c r="G497" s="19">
        <f t="shared" si="288"/>
        <v>-1458</v>
      </c>
      <c r="H497" s="122"/>
      <c r="I497" s="123"/>
      <c r="J497" s="26">
        <f t="shared" si="289"/>
        <v>-1458</v>
      </c>
      <c r="K497" s="117"/>
      <c r="L497" s="117"/>
      <c r="M497" s="38">
        <f t="shared" si="290"/>
        <v>-1458</v>
      </c>
      <c r="N497" s="122"/>
      <c r="O497" s="123"/>
      <c r="P497" s="26">
        <f t="shared" si="291"/>
        <v>-1458</v>
      </c>
      <c r="Q497" s="117"/>
      <c r="R497" s="117"/>
      <c r="S497" s="38">
        <f t="shared" si="292"/>
        <v>-1458</v>
      </c>
      <c r="T497" s="122"/>
      <c r="U497" s="124"/>
      <c r="V497" s="20">
        <f t="shared" si="293"/>
        <v>-1458</v>
      </c>
      <c r="W497" s="143"/>
    </row>
    <row r="498" spans="1:23" ht="15.75" customHeight="1">
      <c r="A498" s="114"/>
      <c r="B498" s="122"/>
      <c r="C498" s="123"/>
      <c r="D498" s="39">
        <f t="shared" si="287"/>
        <v>-1458</v>
      </c>
      <c r="E498" s="128"/>
      <c r="F498" s="128"/>
      <c r="G498" s="29">
        <f t="shared" si="288"/>
        <v>-1458</v>
      </c>
      <c r="H498" s="122"/>
      <c r="I498" s="123"/>
      <c r="J498" s="39">
        <f t="shared" si="289"/>
        <v>-1458</v>
      </c>
      <c r="K498" s="128"/>
      <c r="L498" s="128"/>
      <c r="M498" s="40">
        <f t="shared" si="290"/>
        <v>-1458</v>
      </c>
      <c r="N498" s="122"/>
      <c r="O498" s="123"/>
      <c r="P498" s="39">
        <f t="shared" si="291"/>
        <v>-1458</v>
      </c>
      <c r="Q498" s="128"/>
      <c r="R498" s="128"/>
      <c r="S498" s="40">
        <f t="shared" si="292"/>
        <v>-1458</v>
      </c>
      <c r="T498" s="122"/>
      <c r="U498" s="123"/>
      <c r="V498" s="49">
        <f t="shared" si="293"/>
        <v>-1458</v>
      </c>
      <c r="W498" s="143"/>
    </row>
    <row r="499" spans="1:23" ht="15.75" customHeight="1">
      <c r="A499" s="87"/>
      <c r="B499" s="77">
        <f ca="1">IFERROR(__xludf.DUMMYFUNCTION("DATE(VALUE(LEFT($B$2,4)),VALUE(MID($B$2,6,2)),VALUE(RIGHT($B$2,2)))
+ (VALUE(REGEXEXTRACT(INDIRECT(""A""&amp;ROW()+1),""\d+""))-1)*7
+ INT((COLUMN()-COLUMN($B499))/3)
"),46677)</f>
        <v>46677</v>
      </c>
      <c r="C499" s="81"/>
      <c r="D499" s="82"/>
      <c r="E499" s="77">
        <f ca="1">IFERROR(__xludf.DUMMYFUNCTION("DATE(VALUE(LEFT($B$2,4)),VALUE(MID($B$2,6,2)),VALUE(RIGHT($B$2,2)))
+ (VALUE(REGEXEXTRACT(INDIRECT(""A""&amp;ROW()+1),""\d+""))-1)*7
+ INT((COLUMN()-COLUMN($B499))/3)
"),46678)</f>
        <v>46678</v>
      </c>
      <c r="F499" s="81"/>
      <c r="G499" s="82"/>
      <c r="H499" s="77">
        <f ca="1">IFERROR(__xludf.DUMMYFUNCTION("DATE(VALUE(LEFT($B$2,4)),VALUE(MID($B$2,6,2)),VALUE(RIGHT($B$2,2)))
+ (VALUE(REGEXEXTRACT(INDIRECT(""A""&amp;ROW()+1),""\d+""))-1)*7
+ INT((COLUMN()-COLUMN($B499))/3)
"),46679)</f>
        <v>46679</v>
      </c>
      <c r="I499" s="81"/>
      <c r="J499" s="82"/>
      <c r="K499" s="77">
        <f ca="1">IFERROR(__xludf.DUMMYFUNCTION("DATE(VALUE(LEFT($B$2,4)),VALUE(MID($B$2,6,2)),VALUE(RIGHT($B$2,2)))
+ (VALUE(REGEXEXTRACT(INDIRECT(""A""&amp;ROW()+1),""\d+""))-1)*7
+ INT((COLUMN()-COLUMN($B499))/3)
"),46680)</f>
        <v>46680</v>
      </c>
      <c r="L499" s="81"/>
      <c r="M499" s="82"/>
      <c r="N499" s="77">
        <f ca="1">IFERROR(__xludf.DUMMYFUNCTION("DATE(VALUE(LEFT($B$2,4)),VALUE(MID($B$2,6,2)),VALUE(RIGHT($B$2,2)))
+ (VALUE(REGEXEXTRACT(INDIRECT(""A""&amp;ROW()+1),""\d+""))-1)*7
+ INT((COLUMN()-COLUMN($B499))/3)
"),46681)</f>
        <v>46681</v>
      </c>
      <c r="O499" s="81"/>
      <c r="P499" s="82"/>
      <c r="Q499" s="77">
        <f ca="1">IFERROR(__xludf.DUMMYFUNCTION("DATE(VALUE(LEFT($B$2,4)),VALUE(MID($B$2,6,2)),VALUE(RIGHT($B$2,2)))
+ (VALUE(REGEXEXTRACT(INDIRECT(""A""&amp;ROW()+1),""\d+""))-1)*7
+ INT((COLUMN()-COLUMN($B499))/3)
"),46682)</f>
        <v>46682</v>
      </c>
      <c r="R499" s="81"/>
      <c r="S499" s="82"/>
      <c r="T499" s="77">
        <f ca="1">IFERROR(__xludf.DUMMYFUNCTION("DATE(VALUE(LEFT($B$2,4)),VALUE(MID($B$2,6,2)),VALUE(RIGHT($B$2,2)))
+ (VALUE(REGEXEXTRACT(INDIRECT(""A""&amp;ROW()+1),""\d+""))-1)*7
+ INT((COLUMN()-COLUMN($B499))/3)
"),46683)</f>
        <v>46683</v>
      </c>
      <c r="U499" s="81"/>
      <c r="V499" s="82"/>
      <c r="W499" s="52" t="s">
        <v>20</v>
      </c>
    </row>
    <row r="500" spans="1:23" ht="15.75" customHeight="1">
      <c r="A500" s="47" t="s">
        <v>171</v>
      </c>
      <c r="B500" s="113"/>
      <c r="C500" s="109"/>
      <c r="D500" s="42">
        <f>V498+C500</f>
        <v>-1458</v>
      </c>
      <c r="E500" s="112"/>
      <c r="F500" s="111"/>
      <c r="G500" s="36">
        <f>D510+F500</f>
        <v>-1458</v>
      </c>
      <c r="H500" s="132"/>
      <c r="I500" s="109"/>
      <c r="J500" s="42">
        <f>G510+I500</f>
        <v>-1458</v>
      </c>
      <c r="K500" s="112"/>
      <c r="L500" s="111"/>
      <c r="M500" s="18">
        <f>J510+L500</f>
        <v>-1458</v>
      </c>
      <c r="N500" s="113"/>
      <c r="O500" s="109"/>
      <c r="P500" s="35">
        <f>M510+O500</f>
        <v>-1458</v>
      </c>
      <c r="Q500" s="112"/>
      <c r="R500" s="111"/>
      <c r="S500" s="18">
        <f>P510+R500</f>
        <v>-1458</v>
      </c>
      <c r="T500" s="173"/>
      <c r="U500" s="173"/>
      <c r="V500" s="50">
        <f>S510+U500</f>
        <v>-1458</v>
      </c>
      <c r="W500" s="172"/>
    </row>
    <row r="501" spans="1:23" ht="15.75" customHeight="1">
      <c r="A501" s="114"/>
      <c r="B501" s="118"/>
      <c r="C501" s="117"/>
      <c r="D501" s="19">
        <f t="shared" ref="D501:D510" si="294">D500+C501</f>
        <v>-1458</v>
      </c>
      <c r="E501" s="106"/>
      <c r="F501" s="107"/>
      <c r="G501" s="26">
        <f t="shared" ref="G501:G510" si="295">G500+F501</f>
        <v>-1458</v>
      </c>
      <c r="H501" s="133"/>
      <c r="I501" s="117"/>
      <c r="J501" s="19">
        <f t="shared" ref="J501:J510" si="296">J500+I501</f>
        <v>-1458</v>
      </c>
      <c r="K501" s="106"/>
      <c r="L501" s="107"/>
      <c r="M501" s="26">
        <f t="shared" ref="M501:M510" si="297">M500+L501</f>
        <v>-1458</v>
      </c>
      <c r="N501" s="118"/>
      <c r="O501" s="117"/>
      <c r="P501" s="38">
        <f t="shared" ref="P501:P510" si="298">P500+O501</f>
        <v>-1458</v>
      </c>
      <c r="Q501" s="106"/>
      <c r="R501" s="107"/>
      <c r="S501" s="26">
        <f t="shared" ref="S501:S510" si="299">S500+R501</f>
        <v>-1458</v>
      </c>
      <c r="T501" s="136"/>
      <c r="U501" s="136"/>
      <c r="V501" s="45">
        <f t="shared" ref="V501:V510" si="300">V500+U501</f>
        <v>-1458</v>
      </c>
      <c r="W501" s="143"/>
    </row>
    <row r="502" spans="1:23" ht="15.75" customHeight="1">
      <c r="A502" s="114"/>
      <c r="B502" s="118"/>
      <c r="C502" s="117"/>
      <c r="D502" s="19">
        <f t="shared" si="294"/>
        <v>-1458</v>
      </c>
      <c r="E502" s="106"/>
      <c r="F502" s="107"/>
      <c r="G502" s="26">
        <f t="shared" si="295"/>
        <v>-1458</v>
      </c>
      <c r="H502" s="133"/>
      <c r="I502" s="117"/>
      <c r="J502" s="19">
        <f t="shared" si="296"/>
        <v>-1458</v>
      </c>
      <c r="K502" s="106"/>
      <c r="L502" s="107"/>
      <c r="M502" s="26">
        <f t="shared" si="297"/>
        <v>-1458</v>
      </c>
      <c r="N502" s="117"/>
      <c r="O502" s="117"/>
      <c r="P502" s="38">
        <f t="shared" si="298"/>
        <v>-1458</v>
      </c>
      <c r="Q502" s="106"/>
      <c r="R502" s="107"/>
      <c r="S502" s="26">
        <f t="shared" si="299"/>
        <v>-1458</v>
      </c>
      <c r="T502" s="136"/>
      <c r="U502" s="136"/>
      <c r="V502" s="45">
        <f t="shared" si="300"/>
        <v>-1458</v>
      </c>
      <c r="W502" s="143"/>
    </row>
    <row r="503" spans="1:23" ht="15.75" customHeight="1">
      <c r="A503" s="114"/>
      <c r="B503" s="118"/>
      <c r="C503" s="117"/>
      <c r="D503" s="19">
        <f t="shared" si="294"/>
        <v>-1458</v>
      </c>
      <c r="E503" s="106"/>
      <c r="F503" s="107"/>
      <c r="G503" s="26">
        <f t="shared" si="295"/>
        <v>-1458</v>
      </c>
      <c r="H503" s="133"/>
      <c r="I503" s="117"/>
      <c r="J503" s="19">
        <f t="shared" si="296"/>
        <v>-1458</v>
      </c>
      <c r="K503" s="106"/>
      <c r="L503" s="107"/>
      <c r="M503" s="26">
        <f t="shared" si="297"/>
        <v>-1458</v>
      </c>
      <c r="N503" s="117"/>
      <c r="O503" s="117"/>
      <c r="P503" s="38">
        <f t="shared" si="298"/>
        <v>-1458</v>
      </c>
      <c r="Q503" s="106"/>
      <c r="R503" s="107"/>
      <c r="S503" s="26">
        <f t="shared" si="299"/>
        <v>-1458</v>
      </c>
      <c r="T503" s="136"/>
      <c r="U503" s="136"/>
      <c r="V503" s="45">
        <f t="shared" si="300"/>
        <v>-1458</v>
      </c>
      <c r="W503" s="143"/>
    </row>
    <row r="504" spans="1:23" ht="15.75" customHeight="1">
      <c r="A504" s="114"/>
      <c r="B504" s="118"/>
      <c r="C504" s="117"/>
      <c r="D504" s="19">
        <f t="shared" si="294"/>
        <v>-1458</v>
      </c>
      <c r="E504" s="106"/>
      <c r="F504" s="107"/>
      <c r="G504" s="26">
        <f t="shared" si="295"/>
        <v>-1458</v>
      </c>
      <c r="H504" s="133"/>
      <c r="I504" s="117"/>
      <c r="J504" s="19">
        <f t="shared" si="296"/>
        <v>-1458</v>
      </c>
      <c r="K504" s="106"/>
      <c r="L504" s="107"/>
      <c r="M504" s="26">
        <f t="shared" si="297"/>
        <v>-1458</v>
      </c>
      <c r="N504" s="117"/>
      <c r="O504" s="117"/>
      <c r="P504" s="38">
        <f t="shared" si="298"/>
        <v>-1458</v>
      </c>
      <c r="Q504" s="106"/>
      <c r="R504" s="107"/>
      <c r="S504" s="26">
        <f t="shared" si="299"/>
        <v>-1458</v>
      </c>
      <c r="T504" s="136"/>
      <c r="U504" s="136"/>
      <c r="V504" s="45">
        <f t="shared" si="300"/>
        <v>-1458</v>
      </c>
      <c r="W504" s="143"/>
    </row>
    <row r="505" spans="1:23" ht="15.75" customHeight="1">
      <c r="A505" s="114"/>
      <c r="B505" s="118"/>
      <c r="C505" s="117"/>
      <c r="D505" s="19">
        <f t="shared" si="294"/>
        <v>-1458</v>
      </c>
      <c r="E505" s="106"/>
      <c r="F505" s="107"/>
      <c r="G505" s="26">
        <f t="shared" si="295"/>
        <v>-1458</v>
      </c>
      <c r="H505" s="133"/>
      <c r="I505" s="117"/>
      <c r="J505" s="19">
        <f t="shared" si="296"/>
        <v>-1458</v>
      </c>
      <c r="K505" s="106"/>
      <c r="L505" s="107"/>
      <c r="M505" s="26">
        <f t="shared" si="297"/>
        <v>-1458</v>
      </c>
      <c r="N505" s="117"/>
      <c r="O505" s="117"/>
      <c r="P505" s="38">
        <f t="shared" si="298"/>
        <v>-1458</v>
      </c>
      <c r="Q505" s="106"/>
      <c r="R505" s="107"/>
      <c r="S505" s="26">
        <f t="shared" si="299"/>
        <v>-1458</v>
      </c>
      <c r="T505" s="136"/>
      <c r="U505" s="136"/>
      <c r="V505" s="45">
        <f t="shared" si="300"/>
        <v>-1458</v>
      </c>
      <c r="W505" s="143"/>
    </row>
    <row r="506" spans="1:23" ht="15.75" customHeight="1">
      <c r="A506" s="114"/>
      <c r="B506" s="117"/>
      <c r="C506" s="117"/>
      <c r="D506" s="19">
        <f t="shared" si="294"/>
        <v>-1458</v>
      </c>
      <c r="E506" s="106"/>
      <c r="F506" s="107"/>
      <c r="G506" s="26">
        <f t="shared" si="295"/>
        <v>-1458</v>
      </c>
      <c r="H506" s="133"/>
      <c r="I506" s="117"/>
      <c r="J506" s="19">
        <f t="shared" si="296"/>
        <v>-1458</v>
      </c>
      <c r="K506" s="106"/>
      <c r="L506" s="107"/>
      <c r="M506" s="26">
        <f t="shared" si="297"/>
        <v>-1458</v>
      </c>
      <c r="N506" s="117"/>
      <c r="O506" s="117"/>
      <c r="P506" s="38">
        <f t="shared" si="298"/>
        <v>-1458</v>
      </c>
      <c r="Q506" s="106"/>
      <c r="R506" s="107"/>
      <c r="S506" s="26">
        <f t="shared" si="299"/>
        <v>-1458</v>
      </c>
      <c r="T506" s="136"/>
      <c r="U506" s="136"/>
      <c r="V506" s="45">
        <f t="shared" si="300"/>
        <v>-1458</v>
      </c>
      <c r="W506" s="143"/>
    </row>
    <row r="507" spans="1:23" ht="15.75" customHeight="1">
      <c r="A507" s="114"/>
      <c r="B507" s="117"/>
      <c r="C507" s="117"/>
      <c r="D507" s="19">
        <f t="shared" si="294"/>
        <v>-1458</v>
      </c>
      <c r="E507" s="106"/>
      <c r="F507" s="107"/>
      <c r="G507" s="26">
        <f t="shared" si="295"/>
        <v>-1458</v>
      </c>
      <c r="H507" s="133"/>
      <c r="I507" s="117"/>
      <c r="J507" s="19">
        <f t="shared" si="296"/>
        <v>-1458</v>
      </c>
      <c r="K507" s="106"/>
      <c r="L507" s="107"/>
      <c r="M507" s="26">
        <f t="shared" si="297"/>
        <v>-1458</v>
      </c>
      <c r="N507" s="117"/>
      <c r="O507" s="117"/>
      <c r="P507" s="38">
        <f t="shared" si="298"/>
        <v>-1458</v>
      </c>
      <c r="Q507" s="106"/>
      <c r="R507" s="107"/>
      <c r="S507" s="26">
        <f t="shared" si="299"/>
        <v>-1458</v>
      </c>
      <c r="T507" s="136"/>
      <c r="U507" s="136"/>
      <c r="V507" s="45">
        <f t="shared" si="300"/>
        <v>-1458</v>
      </c>
      <c r="W507" s="143"/>
    </row>
    <row r="508" spans="1:23" ht="15.75" customHeight="1">
      <c r="A508" s="114"/>
      <c r="B508" s="117"/>
      <c r="C508" s="117"/>
      <c r="D508" s="19">
        <f t="shared" si="294"/>
        <v>-1458</v>
      </c>
      <c r="E508" s="106"/>
      <c r="F508" s="107"/>
      <c r="G508" s="26">
        <f t="shared" si="295"/>
        <v>-1458</v>
      </c>
      <c r="H508" s="133"/>
      <c r="I508" s="117"/>
      <c r="J508" s="19">
        <f t="shared" si="296"/>
        <v>-1458</v>
      </c>
      <c r="K508" s="106"/>
      <c r="L508" s="107"/>
      <c r="M508" s="26">
        <f t="shared" si="297"/>
        <v>-1458</v>
      </c>
      <c r="N508" s="117"/>
      <c r="O508" s="117"/>
      <c r="P508" s="38">
        <f t="shared" si="298"/>
        <v>-1458</v>
      </c>
      <c r="Q508" s="106"/>
      <c r="R508" s="107"/>
      <c r="S508" s="26">
        <f t="shared" si="299"/>
        <v>-1458</v>
      </c>
      <c r="T508" s="136"/>
      <c r="U508" s="136"/>
      <c r="V508" s="45">
        <f t="shared" si="300"/>
        <v>-1458</v>
      </c>
      <c r="W508" s="143"/>
    </row>
    <row r="509" spans="1:23" ht="15.75" customHeight="1">
      <c r="A509" s="114"/>
      <c r="B509" s="117"/>
      <c r="C509" s="117"/>
      <c r="D509" s="19">
        <f t="shared" si="294"/>
        <v>-1458</v>
      </c>
      <c r="E509" s="122"/>
      <c r="F509" s="123"/>
      <c r="G509" s="26">
        <f t="shared" si="295"/>
        <v>-1458</v>
      </c>
      <c r="H509" s="133"/>
      <c r="I509" s="117"/>
      <c r="J509" s="19">
        <f t="shared" si="296"/>
        <v>-1458</v>
      </c>
      <c r="K509" s="122"/>
      <c r="L509" s="123"/>
      <c r="M509" s="26">
        <f t="shared" si="297"/>
        <v>-1458</v>
      </c>
      <c r="N509" s="117"/>
      <c r="O509" s="117"/>
      <c r="P509" s="38">
        <f t="shared" si="298"/>
        <v>-1458</v>
      </c>
      <c r="Q509" s="122"/>
      <c r="R509" s="123"/>
      <c r="S509" s="26">
        <f t="shared" si="299"/>
        <v>-1458</v>
      </c>
      <c r="T509" s="136"/>
      <c r="U509" s="136"/>
      <c r="V509" s="45">
        <f t="shared" si="300"/>
        <v>-1458</v>
      </c>
      <c r="W509" s="143"/>
    </row>
    <row r="510" spans="1:23" ht="15.75" customHeight="1">
      <c r="A510" s="114"/>
      <c r="B510" s="128"/>
      <c r="C510" s="128"/>
      <c r="D510" s="29">
        <f t="shared" si="294"/>
        <v>-1458</v>
      </c>
      <c r="E510" s="122"/>
      <c r="F510" s="123"/>
      <c r="G510" s="53">
        <f t="shared" si="295"/>
        <v>-1458</v>
      </c>
      <c r="H510" s="140"/>
      <c r="I510" s="128"/>
      <c r="J510" s="29">
        <f t="shared" si="296"/>
        <v>-1458</v>
      </c>
      <c r="K510" s="122"/>
      <c r="L510" s="123"/>
      <c r="M510" s="39">
        <f t="shared" si="297"/>
        <v>-1458</v>
      </c>
      <c r="N510" s="128"/>
      <c r="O510" s="128"/>
      <c r="P510" s="40">
        <f t="shared" si="298"/>
        <v>-1458</v>
      </c>
      <c r="Q510" s="122"/>
      <c r="R510" s="123"/>
      <c r="S510" s="39">
        <f t="shared" si="299"/>
        <v>-1458</v>
      </c>
      <c r="T510" s="141"/>
      <c r="U510" s="141"/>
      <c r="V510" s="46">
        <f t="shared" si="300"/>
        <v>-1458</v>
      </c>
      <c r="W510" s="143"/>
    </row>
    <row r="511" spans="1:23" ht="15.75" customHeight="1">
      <c r="A511" s="87"/>
      <c r="B511" s="77">
        <f ca="1">IFERROR(__xludf.DUMMYFUNCTION("DATE(VALUE(LEFT($B$2,4)),VALUE(MID($B$2,6,2)),VALUE(RIGHT($B$2,2)))
+ (VALUE(REGEXEXTRACT(INDIRECT(""A""&amp;ROW()+1),""\d+""))-1)*7
+ INT((COLUMN()-COLUMN($B511))/3)
"),46684)</f>
        <v>46684</v>
      </c>
      <c r="C511" s="81"/>
      <c r="D511" s="82"/>
      <c r="E511" s="77">
        <f ca="1">IFERROR(__xludf.DUMMYFUNCTION("DATE(VALUE(LEFT($B$2,4)),VALUE(MID($B$2,6,2)),VALUE(RIGHT($B$2,2)))
+ (VALUE(REGEXEXTRACT(INDIRECT(""A""&amp;ROW()+1),""\d+""))-1)*7
+ INT((COLUMN()-COLUMN($B511))/3)
"),46685)</f>
        <v>46685</v>
      </c>
      <c r="F511" s="81"/>
      <c r="G511" s="82"/>
      <c r="H511" s="77">
        <f ca="1">IFERROR(__xludf.DUMMYFUNCTION("DATE(VALUE(LEFT($B$2,4)),VALUE(MID($B$2,6,2)),VALUE(RIGHT($B$2,2)))
+ (VALUE(REGEXEXTRACT(INDIRECT(""A""&amp;ROW()+1),""\d+""))-1)*7
+ INT((COLUMN()-COLUMN($B511))/3)
"),46686)</f>
        <v>46686</v>
      </c>
      <c r="I511" s="81"/>
      <c r="J511" s="82"/>
      <c r="K511" s="77">
        <f ca="1">IFERROR(__xludf.DUMMYFUNCTION("DATE(VALUE(LEFT($B$2,4)),VALUE(MID($B$2,6,2)),VALUE(RIGHT($B$2,2)))
+ (VALUE(REGEXEXTRACT(INDIRECT(""A""&amp;ROW()+1),""\d+""))-1)*7
+ INT((COLUMN()-COLUMN($B511))/3)
"),46687)</f>
        <v>46687</v>
      </c>
      <c r="L511" s="81"/>
      <c r="M511" s="82"/>
      <c r="N511" s="77">
        <f ca="1">IFERROR(__xludf.DUMMYFUNCTION("DATE(VALUE(LEFT($B$2,4)),VALUE(MID($B$2,6,2)),VALUE(RIGHT($B$2,2)))
+ (VALUE(REGEXEXTRACT(INDIRECT(""A""&amp;ROW()+1),""\d+""))-1)*7
+ INT((COLUMN()-COLUMN($B511))/3)
"),46688)</f>
        <v>46688</v>
      </c>
      <c r="O511" s="81"/>
      <c r="P511" s="82"/>
      <c r="Q511" s="77">
        <f ca="1">IFERROR(__xludf.DUMMYFUNCTION("DATE(VALUE(LEFT($B$2,4)),VALUE(MID($B$2,6,2)),VALUE(RIGHT($B$2,2)))
+ (VALUE(REGEXEXTRACT(INDIRECT(""A""&amp;ROW()+1),""\d+""))-1)*7
+ INT((COLUMN()-COLUMN($B511))/3)
"),46689)</f>
        <v>46689</v>
      </c>
      <c r="R511" s="81"/>
      <c r="S511" s="82"/>
      <c r="T511" s="77">
        <f ca="1">IFERROR(__xludf.DUMMYFUNCTION("DATE(VALUE(LEFT($B$2,4)),VALUE(MID($B$2,6,2)),VALUE(RIGHT($B$2,2)))
+ (VALUE(REGEXEXTRACT(INDIRECT(""A""&amp;ROW()+1),""\d+""))-1)*7
+ INT((COLUMN()-COLUMN($B511))/3)
"),46690)</f>
        <v>46690</v>
      </c>
      <c r="U511" s="81"/>
      <c r="V511" s="82"/>
      <c r="W511" s="143"/>
    </row>
    <row r="512" spans="1:23" ht="15.75" customHeight="1">
      <c r="A512" s="51" t="s">
        <v>172</v>
      </c>
      <c r="B512" s="112"/>
      <c r="C512" s="111"/>
      <c r="D512" s="17">
        <f>V510+C512</f>
        <v>-1458</v>
      </c>
      <c r="E512" s="109"/>
      <c r="F512" s="109"/>
      <c r="G512" s="54">
        <f>D522+F512</f>
        <v>-1458</v>
      </c>
      <c r="H512" s="110"/>
      <c r="I512" s="111"/>
      <c r="J512" s="17">
        <f>G522+I512</f>
        <v>-1458</v>
      </c>
      <c r="K512" s="109"/>
      <c r="L512" s="109"/>
      <c r="M512" s="35">
        <f>J522+L512</f>
        <v>-1458</v>
      </c>
      <c r="N512" s="112"/>
      <c r="O512" s="111"/>
      <c r="P512" s="17">
        <f>M522+O512</f>
        <v>-1458</v>
      </c>
      <c r="Q512" s="109"/>
      <c r="R512" s="109"/>
      <c r="S512" s="35">
        <f>P522+R512</f>
        <v>-1458</v>
      </c>
      <c r="T512" s="112"/>
      <c r="U512" s="111"/>
      <c r="V512" s="48">
        <f>S522+U512</f>
        <v>-1458</v>
      </c>
      <c r="W512" s="143"/>
    </row>
    <row r="513" spans="1:23" ht="15.75" customHeight="1">
      <c r="A513" s="114"/>
      <c r="B513" s="106"/>
      <c r="C513" s="107"/>
      <c r="D513" s="26">
        <f t="shared" ref="D513:D522" si="301">D512+C513</f>
        <v>-1458</v>
      </c>
      <c r="E513" s="117"/>
      <c r="F513" s="117"/>
      <c r="G513" s="19">
        <f t="shared" ref="G513:G522" si="302">G512+F513</f>
        <v>-1458</v>
      </c>
      <c r="H513" s="116"/>
      <c r="I513" s="107"/>
      <c r="J513" s="26">
        <f t="shared" ref="J513:J522" si="303">J512+I513</f>
        <v>-1458</v>
      </c>
      <c r="K513" s="117"/>
      <c r="L513" s="117"/>
      <c r="M513" s="38">
        <f t="shared" ref="M513:M522" si="304">M512+L513</f>
        <v>-1458</v>
      </c>
      <c r="N513" s="106"/>
      <c r="O513" s="107"/>
      <c r="P513" s="26">
        <f t="shared" ref="P513:P522" si="305">P512+O513</f>
        <v>-1458</v>
      </c>
      <c r="Q513" s="117"/>
      <c r="R513" s="117"/>
      <c r="S513" s="38">
        <f t="shared" ref="S513:S522" si="306">S512+R513</f>
        <v>-1458</v>
      </c>
      <c r="T513" s="106"/>
      <c r="U513" s="107"/>
      <c r="V513" s="20">
        <f t="shared" ref="V513:V522" si="307">V512+U513</f>
        <v>-1458</v>
      </c>
      <c r="W513" s="143"/>
    </row>
    <row r="514" spans="1:23" ht="15.75" customHeight="1">
      <c r="A514" s="114"/>
      <c r="B514" s="106"/>
      <c r="C514" s="107"/>
      <c r="D514" s="26">
        <f t="shared" si="301"/>
        <v>-1458</v>
      </c>
      <c r="E514" s="117"/>
      <c r="F514" s="117"/>
      <c r="G514" s="19">
        <f t="shared" si="302"/>
        <v>-1458</v>
      </c>
      <c r="H514" s="116"/>
      <c r="I514" s="107"/>
      <c r="J514" s="26">
        <f t="shared" si="303"/>
        <v>-1458</v>
      </c>
      <c r="K514" s="117"/>
      <c r="L514" s="117"/>
      <c r="M514" s="38">
        <f t="shared" si="304"/>
        <v>-1458</v>
      </c>
      <c r="N514" s="106"/>
      <c r="O514" s="107"/>
      <c r="P514" s="26">
        <f t="shared" si="305"/>
        <v>-1458</v>
      </c>
      <c r="Q514" s="117"/>
      <c r="R514" s="117"/>
      <c r="S514" s="38">
        <f t="shared" si="306"/>
        <v>-1458</v>
      </c>
      <c r="T514" s="106"/>
      <c r="U514" s="116"/>
      <c r="V514" s="20">
        <f t="shared" si="307"/>
        <v>-1458</v>
      </c>
      <c r="W514" s="143"/>
    </row>
    <row r="515" spans="1:23" ht="15.75" customHeight="1">
      <c r="A515" s="114"/>
      <c r="B515" s="106"/>
      <c r="C515" s="107"/>
      <c r="D515" s="26">
        <f t="shared" si="301"/>
        <v>-1458</v>
      </c>
      <c r="E515" s="117"/>
      <c r="F515" s="117"/>
      <c r="G515" s="19">
        <f t="shared" si="302"/>
        <v>-1458</v>
      </c>
      <c r="H515" s="116"/>
      <c r="I515" s="107"/>
      <c r="J515" s="26">
        <f t="shared" si="303"/>
        <v>-1458</v>
      </c>
      <c r="K515" s="117"/>
      <c r="L515" s="117"/>
      <c r="M515" s="38">
        <f t="shared" si="304"/>
        <v>-1458</v>
      </c>
      <c r="N515" s="106"/>
      <c r="O515" s="107"/>
      <c r="P515" s="26">
        <f t="shared" si="305"/>
        <v>-1458</v>
      </c>
      <c r="Q515" s="117"/>
      <c r="R515" s="117"/>
      <c r="S515" s="38">
        <f t="shared" si="306"/>
        <v>-1458</v>
      </c>
      <c r="T515" s="106"/>
      <c r="U515" s="116"/>
      <c r="V515" s="20">
        <f t="shared" si="307"/>
        <v>-1458</v>
      </c>
      <c r="W515" s="143"/>
    </row>
    <row r="516" spans="1:23" ht="15.75" customHeight="1">
      <c r="A516" s="114"/>
      <c r="B516" s="106"/>
      <c r="C516" s="107"/>
      <c r="D516" s="26">
        <f t="shared" si="301"/>
        <v>-1458</v>
      </c>
      <c r="E516" s="117"/>
      <c r="F516" s="117"/>
      <c r="G516" s="19">
        <f t="shared" si="302"/>
        <v>-1458</v>
      </c>
      <c r="H516" s="116"/>
      <c r="I516" s="107"/>
      <c r="J516" s="26">
        <f t="shared" si="303"/>
        <v>-1458</v>
      </c>
      <c r="K516" s="117"/>
      <c r="L516" s="117"/>
      <c r="M516" s="38">
        <f t="shared" si="304"/>
        <v>-1458</v>
      </c>
      <c r="N516" s="106"/>
      <c r="O516" s="107"/>
      <c r="P516" s="26">
        <f t="shared" si="305"/>
        <v>-1458</v>
      </c>
      <c r="Q516" s="117"/>
      <c r="R516" s="117"/>
      <c r="S516" s="38">
        <f t="shared" si="306"/>
        <v>-1458</v>
      </c>
      <c r="T516" s="106"/>
      <c r="U516" s="116"/>
      <c r="V516" s="20">
        <f t="shared" si="307"/>
        <v>-1458</v>
      </c>
      <c r="W516" s="143"/>
    </row>
    <row r="517" spans="1:23" ht="15.75" customHeight="1">
      <c r="A517" s="114"/>
      <c r="B517" s="106"/>
      <c r="C517" s="107"/>
      <c r="D517" s="26">
        <f t="shared" si="301"/>
        <v>-1458</v>
      </c>
      <c r="E517" s="117"/>
      <c r="F517" s="117"/>
      <c r="G517" s="19">
        <f t="shared" si="302"/>
        <v>-1458</v>
      </c>
      <c r="H517" s="116"/>
      <c r="I517" s="107"/>
      <c r="J517" s="26">
        <f t="shared" si="303"/>
        <v>-1458</v>
      </c>
      <c r="K517" s="117"/>
      <c r="L517" s="117"/>
      <c r="M517" s="38">
        <f t="shared" si="304"/>
        <v>-1458</v>
      </c>
      <c r="N517" s="106"/>
      <c r="O517" s="107"/>
      <c r="P517" s="26">
        <f t="shared" si="305"/>
        <v>-1458</v>
      </c>
      <c r="Q517" s="117"/>
      <c r="R517" s="117"/>
      <c r="S517" s="38">
        <f t="shared" si="306"/>
        <v>-1458</v>
      </c>
      <c r="T517" s="106"/>
      <c r="U517" s="116"/>
      <c r="V517" s="20">
        <f t="shared" si="307"/>
        <v>-1458</v>
      </c>
      <c r="W517" s="143"/>
    </row>
    <row r="518" spans="1:23" ht="15.75" customHeight="1">
      <c r="A518" s="114"/>
      <c r="B518" s="106"/>
      <c r="C518" s="107"/>
      <c r="D518" s="26">
        <f t="shared" si="301"/>
        <v>-1458</v>
      </c>
      <c r="E518" s="117"/>
      <c r="F518" s="117"/>
      <c r="G518" s="19">
        <f t="shared" si="302"/>
        <v>-1458</v>
      </c>
      <c r="H518" s="116"/>
      <c r="I518" s="107"/>
      <c r="J518" s="26">
        <f t="shared" si="303"/>
        <v>-1458</v>
      </c>
      <c r="K518" s="117"/>
      <c r="L518" s="117"/>
      <c r="M518" s="38">
        <f t="shared" si="304"/>
        <v>-1458</v>
      </c>
      <c r="N518" s="106"/>
      <c r="O518" s="107"/>
      <c r="P518" s="26">
        <f t="shared" si="305"/>
        <v>-1458</v>
      </c>
      <c r="Q518" s="117"/>
      <c r="R518" s="117"/>
      <c r="S518" s="38">
        <f t="shared" si="306"/>
        <v>-1458</v>
      </c>
      <c r="T518" s="106"/>
      <c r="U518" s="116"/>
      <c r="V518" s="20">
        <f t="shared" si="307"/>
        <v>-1458</v>
      </c>
      <c r="W518" s="143"/>
    </row>
    <row r="519" spans="1:23" ht="15.75" customHeight="1">
      <c r="A519" s="114"/>
      <c r="B519" s="106"/>
      <c r="C519" s="107"/>
      <c r="D519" s="26">
        <f t="shared" si="301"/>
        <v>-1458</v>
      </c>
      <c r="E519" s="117"/>
      <c r="F519" s="117"/>
      <c r="G519" s="19">
        <f t="shared" si="302"/>
        <v>-1458</v>
      </c>
      <c r="H519" s="116"/>
      <c r="I519" s="107"/>
      <c r="J519" s="26">
        <f t="shared" si="303"/>
        <v>-1458</v>
      </c>
      <c r="K519" s="117"/>
      <c r="L519" s="117"/>
      <c r="M519" s="38">
        <f t="shared" si="304"/>
        <v>-1458</v>
      </c>
      <c r="N519" s="106"/>
      <c r="O519" s="107"/>
      <c r="P519" s="26">
        <f t="shared" si="305"/>
        <v>-1458</v>
      </c>
      <c r="Q519" s="117"/>
      <c r="R519" s="117"/>
      <c r="S519" s="38">
        <f t="shared" si="306"/>
        <v>-1458</v>
      </c>
      <c r="T519" s="106"/>
      <c r="U519" s="116"/>
      <c r="V519" s="20">
        <f t="shared" si="307"/>
        <v>-1458</v>
      </c>
      <c r="W519" s="143"/>
    </row>
    <row r="520" spans="1:23" ht="15.75" customHeight="1">
      <c r="A520" s="114"/>
      <c r="B520" s="122"/>
      <c r="C520" s="123"/>
      <c r="D520" s="26">
        <f t="shared" si="301"/>
        <v>-1458</v>
      </c>
      <c r="E520" s="117"/>
      <c r="F520" s="117"/>
      <c r="G520" s="19">
        <f t="shared" si="302"/>
        <v>-1458</v>
      </c>
      <c r="H520" s="124"/>
      <c r="I520" s="123"/>
      <c r="J520" s="26">
        <f t="shared" si="303"/>
        <v>-1458</v>
      </c>
      <c r="K520" s="117"/>
      <c r="L520" s="117"/>
      <c r="M520" s="38">
        <f t="shared" si="304"/>
        <v>-1458</v>
      </c>
      <c r="N520" s="122"/>
      <c r="O520" s="123"/>
      <c r="P520" s="26">
        <f t="shared" si="305"/>
        <v>-1458</v>
      </c>
      <c r="Q520" s="117"/>
      <c r="R520" s="117"/>
      <c r="S520" s="38">
        <f t="shared" si="306"/>
        <v>-1458</v>
      </c>
      <c r="T520" s="106"/>
      <c r="U520" s="116"/>
      <c r="V520" s="20">
        <f t="shared" si="307"/>
        <v>-1458</v>
      </c>
      <c r="W520" s="143"/>
    </row>
    <row r="521" spans="1:23" ht="15.75" customHeight="1">
      <c r="A521" s="114"/>
      <c r="B521" s="122"/>
      <c r="C521" s="123"/>
      <c r="D521" s="26">
        <f t="shared" si="301"/>
        <v>-1458</v>
      </c>
      <c r="E521" s="117"/>
      <c r="F521" s="117"/>
      <c r="G521" s="19">
        <f t="shared" si="302"/>
        <v>-1458</v>
      </c>
      <c r="H521" s="124"/>
      <c r="I521" s="123"/>
      <c r="J521" s="26">
        <f t="shared" si="303"/>
        <v>-1458</v>
      </c>
      <c r="K521" s="117"/>
      <c r="L521" s="117"/>
      <c r="M521" s="38">
        <f t="shared" si="304"/>
        <v>-1458</v>
      </c>
      <c r="N521" s="122"/>
      <c r="O521" s="123"/>
      <c r="P521" s="26">
        <f t="shared" si="305"/>
        <v>-1458</v>
      </c>
      <c r="Q521" s="117"/>
      <c r="R521" s="117"/>
      <c r="S521" s="38">
        <f t="shared" si="306"/>
        <v>-1458</v>
      </c>
      <c r="T521" s="122"/>
      <c r="U521" s="124"/>
      <c r="V521" s="20">
        <f t="shared" si="307"/>
        <v>-1458</v>
      </c>
      <c r="W521" s="143"/>
    </row>
    <row r="522" spans="1:23" ht="15.75" customHeight="1">
      <c r="A522" s="114"/>
      <c r="B522" s="122"/>
      <c r="C522" s="123"/>
      <c r="D522" s="39">
        <f t="shared" si="301"/>
        <v>-1458</v>
      </c>
      <c r="E522" s="128"/>
      <c r="F522" s="128"/>
      <c r="G522" s="55">
        <f t="shared" si="302"/>
        <v>-1458</v>
      </c>
      <c r="H522" s="124"/>
      <c r="I522" s="123"/>
      <c r="J522" s="39">
        <f t="shared" si="303"/>
        <v>-1458</v>
      </c>
      <c r="K522" s="128"/>
      <c r="L522" s="128"/>
      <c r="M522" s="40">
        <f t="shared" si="304"/>
        <v>-1458</v>
      </c>
      <c r="N522" s="122"/>
      <c r="O522" s="123"/>
      <c r="P522" s="39">
        <f t="shared" si="305"/>
        <v>-1458</v>
      </c>
      <c r="Q522" s="128"/>
      <c r="R522" s="128"/>
      <c r="S522" s="40">
        <f t="shared" si="306"/>
        <v>-1458</v>
      </c>
      <c r="T522" s="122"/>
      <c r="U522" s="123"/>
      <c r="V522" s="49">
        <f t="shared" si="307"/>
        <v>-1458</v>
      </c>
      <c r="W522" s="143"/>
    </row>
    <row r="523" spans="1:23" ht="15.75" customHeight="1">
      <c r="A523" s="87"/>
      <c r="B523" s="77">
        <f ca="1">IFERROR(__xludf.DUMMYFUNCTION("DATE(VALUE(LEFT($B$2,4)),VALUE(MID($B$2,6,2)),VALUE(RIGHT($B$2,2)))
+ (VALUE(REGEXEXTRACT(INDIRECT(""A""&amp;ROW()+1),""\d+""))-1)*7
+ INT((COLUMN()-COLUMN($B523))/3)
"),46691)</f>
        <v>46691</v>
      </c>
      <c r="C523" s="81"/>
      <c r="D523" s="82"/>
      <c r="E523" s="77">
        <f ca="1">IFERROR(__xludf.DUMMYFUNCTION("DATE(VALUE(LEFT($B$2,4)),VALUE(MID($B$2,6,2)),VALUE(RIGHT($B$2,2)))
+ (VALUE(REGEXEXTRACT(INDIRECT(""A""&amp;ROW()+1),""\d+""))-1)*7
+ INT((COLUMN()-COLUMN($B523))/3)
"),46692)</f>
        <v>46692</v>
      </c>
      <c r="F523" s="81"/>
      <c r="G523" s="82"/>
      <c r="H523" s="77">
        <f ca="1">IFERROR(__xludf.DUMMYFUNCTION("DATE(VALUE(LEFT($B$2,4)),VALUE(MID($B$2,6,2)),VALUE(RIGHT($B$2,2)))
+ (VALUE(REGEXEXTRACT(INDIRECT(""A""&amp;ROW()+1),""\d+""))-1)*7
+ INT((COLUMN()-COLUMN($B523))/3)
"),46693)</f>
        <v>46693</v>
      </c>
      <c r="I523" s="81"/>
      <c r="J523" s="82"/>
      <c r="K523" s="77">
        <f ca="1">IFERROR(__xludf.DUMMYFUNCTION("DATE(VALUE(LEFT($B$2,4)),VALUE(MID($B$2,6,2)),VALUE(RIGHT($B$2,2)))
+ (VALUE(REGEXEXTRACT(INDIRECT(""A""&amp;ROW()+1),""\d+""))-1)*7
+ INT((COLUMN()-COLUMN($B523))/3)
"),46694)</f>
        <v>46694</v>
      </c>
      <c r="L523" s="81"/>
      <c r="M523" s="82"/>
      <c r="N523" s="77">
        <f ca="1">IFERROR(__xludf.DUMMYFUNCTION("DATE(VALUE(LEFT($B$2,4)),VALUE(MID($B$2,6,2)),VALUE(RIGHT($B$2,2)))
+ (VALUE(REGEXEXTRACT(INDIRECT(""A""&amp;ROW()+1),""\d+""))-1)*7
+ INT((COLUMN()-COLUMN($B523))/3)
"),46695)</f>
        <v>46695</v>
      </c>
      <c r="O523" s="81"/>
      <c r="P523" s="82"/>
      <c r="Q523" s="77">
        <f ca="1">IFERROR(__xludf.DUMMYFUNCTION("DATE(VALUE(LEFT($B$2,4)),VALUE(MID($B$2,6,2)),VALUE(RIGHT($B$2,2)))
+ (VALUE(REGEXEXTRACT(INDIRECT(""A""&amp;ROW()+1),""\d+""))-1)*7
+ INT((COLUMN()-COLUMN($B523))/3)
"),46696)</f>
        <v>46696</v>
      </c>
      <c r="R523" s="81"/>
      <c r="S523" s="82"/>
      <c r="T523" s="77">
        <f ca="1">IFERROR(__xludf.DUMMYFUNCTION("DATE(VALUE(LEFT($B$2,4)),VALUE(MID($B$2,6,2)),VALUE(RIGHT($B$2,2)))
+ (VALUE(REGEXEXTRACT(INDIRECT(""A""&amp;ROW()+1),""\d+""))-1)*7
+ INT((COLUMN()-COLUMN($B523))/3)
"),46697)</f>
        <v>46697</v>
      </c>
      <c r="U523" s="81"/>
      <c r="V523" s="82"/>
      <c r="W523" s="52" t="s">
        <v>20</v>
      </c>
    </row>
    <row r="524" spans="1:23" ht="15.75" customHeight="1">
      <c r="A524" s="47" t="s">
        <v>173</v>
      </c>
      <c r="B524" s="113"/>
      <c r="C524" s="109"/>
      <c r="D524" s="42">
        <f>V522+C524</f>
        <v>-1458</v>
      </c>
      <c r="E524" s="112"/>
      <c r="F524" s="111"/>
      <c r="G524" s="36">
        <f>D534+F524</f>
        <v>-1458</v>
      </c>
      <c r="H524" s="132"/>
      <c r="I524" s="109"/>
      <c r="J524" s="42">
        <f>G534+I524</f>
        <v>-1458</v>
      </c>
      <c r="K524" s="112"/>
      <c r="L524" s="111"/>
      <c r="M524" s="18">
        <f>J534+L524</f>
        <v>-1458</v>
      </c>
      <c r="N524" s="113"/>
      <c r="O524" s="109"/>
      <c r="P524" s="35">
        <f>M534+O524</f>
        <v>-1458</v>
      </c>
      <c r="Q524" s="112"/>
      <c r="R524" s="111"/>
      <c r="S524" s="18">
        <f>P534+R524</f>
        <v>-1458</v>
      </c>
      <c r="T524" s="173"/>
      <c r="U524" s="173"/>
      <c r="V524" s="50">
        <f>S534+U524</f>
        <v>-1458</v>
      </c>
      <c r="W524" s="172"/>
    </row>
    <row r="525" spans="1:23" ht="15.75" customHeight="1">
      <c r="A525" s="114"/>
      <c r="B525" s="118"/>
      <c r="C525" s="117"/>
      <c r="D525" s="19">
        <f t="shared" ref="D525:D534" si="308">D524+C525</f>
        <v>-1458</v>
      </c>
      <c r="E525" s="106"/>
      <c r="F525" s="107"/>
      <c r="G525" s="26">
        <f t="shared" ref="G525:G534" si="309">G524+F525</f>
        <v>-1458</v>
      </c>
      <c r="H525" s="133"/>
      <c r="I525" s="117"/>
      <c r="J525" s="19">
        <f t="shared" ref="J525:J534" si="310">J524+I525</f>
        <v>-1458</v>
      </c>
      <c r="K525" s="106"/>
      <c r="L525" s="107"/>
      <c r="M525" s="26">
        <f t="shared" ref="M525:M534" si="311">M524+L525</f>
        <v>-1458</v>
      </c>
      <c r="N525" s="118"/>
      <c r="O525" s="117"/>
      <c r="P525" s="38">
        <f t="shared" ref="P525:P534" si="312">P524+O525</f>
        <v>-1458</v>
      </c>
      <c r="Q525" s="106"/>
      <c r="R525" s="107"/>
      <c r="S525" s="26">
        <f t="shared" ref="S525:S534" si="313">S524+R525</f>
        <v>-1458</v>
      </c>
      <c r="T525" s="136"/>
      <c r="U525" s="136"/>
      <c r="V525" s="45">
        <f t="shared" ref="V525:V534" si="314">V524+U525</f>
        <v>-1458</v>
      </c>
      <c r="W525" s="143"/>
    </row>
    <row r="526" spans="1:23" ht="15.75" customHeight="1">
      <c r="A526" s="114"/>
      <c r="B526" s="118"/>
      <c r="C526" s="117"/>
      <c r="D526" s="19">
        <f t="shared" si="308"/>
        <v>-1458</v>
      </c>
      <c r="E526" s="106"/>
      <c r="F526" s="107"/>
      <c r="G526" s="26">
        <f t="shared" si="309"/>
        <v>-1458</v>
      </c>
      <c r="H526" s="133"/>
      <c r="I526" s="117"/>
      <c r="J526" s="19">
        <f t="shared" si="310"/>
        <v>-1458</v>
      </c>
      <c r="K526" s="106"/>
      <c r="L526" s="107"/>
      <c r="M526" s="26">
        <f t="shared" si="311"/>
        <v>-1458</v>
      </c>
      <c r="N526" s="117"/>
      <c r="O526" s="117"/>
      <c r="P526" s="38">
        <f t="shared" si="312"/>
        <v>-1458</v>
      </c>
      <c r="Q526" s="106"/>
      <c r="R526" s="107"/>
      <c r="S526" s="26">
        <f t="shared" si="313"/>
        <v>-1458</v>
      </c>
      <c r="T526" s="136"/>
      <c r="U526" s="136"/>
      <c r="V526" s="45">
        <f t="shared" si="314"/>
        <v>-1458</v>
      </c>
      <c r="W526" s="143"/>
    </row>
    <row r="527" spans="1:23" ht="15.75" customHeight="1">
      <c r="A527" s="114"/>
      <c r="B527" s="118"/>
      <c r="C527" s="117"/>
      <c r="D527" s="19">
        <f t="shared" si="308"/>
        <v>-1458</v>
      </c>
      <c r="E527" s="106"/>
      <c r="F527" s="107"/>
      <c r="G527" s="26">
        <f t="shared" si="309"/>
        <v>-1458</v>
      </c>
      <c r="H527" s="133"/>
      <c r="I527" s="117"/>
      <c r="J527" s="19">
        <f t="shared" si="310"/>
        <v>-1458</v>
      </c>
      <c r="K527" s="106"/>
      <c r="L527" s="107"/>
      <c r="M527" s="26">
        <f t="shared" si="311"/>
        <v>-1458</v>
      </c>
      <c r="N527" s="117"/>
      <c r="O527" s="117"/>
      <c r="P527" s="38">
        <f t="shared" si="312"/>
        <v>-1458</v>
      </c>
      <c r="Q527" s="106"/>
      <c r="R527" s="107"/>
      <c r="S527" s="26">
        <f t="shared" si="313"/>
        <v>-1458</v>
      </c>
      <c r="T527" s="136"/>
      <c r="U527" s="136"/>
      <c r="V527" s="45">
        <f t="shared" si="314"/>
        <v>-1458</v>
      </c>
      <c r="W527" s="143"/>
    </row>
    <row r="528" spans="1:23" ht="15.75" customHeight="1">
      <c r="A528" s="114"/>
      <c r="B528" s="118"/>
      <c r="C528" s="117"/>
      <c r="D528" s="19">
        <f t="shared" si="308"/>
        <v>-1458</v>
      </c>
      <c r="E528" s="106"/>
      <c r="F528" s="107"/>
      <c r="G528" s="26">
        <f t="shared" si="309"/>
        <v>-1458</v>
      </c>
      <c r="H528" s="133"/>
      <c r="I528" s="117"/>
      <c r="J528" s="19">
        <f t="shared" si="310"/>
        <v>-1458</v>
      </c>
      <c r="K528" s="106"/>
      <c r="L528" s="107"/>
      <c r="M528" s="26">
        <f t="shared" si="311"/>
        <v>-1458</v>
      </c>
      <c r="N528" s="117"/>
      <c r="O528" s="117"/>
      <c r="P528" s="38">
        <f t="shared" si="312"/>
        <v>-1458</v>
      </c>
      <c r="Q528" s="106"/>
      <c r="R528" s="107"/>
      <c r="S528" s="26">
        <f t="shared" si="313"/>
        <v>-1458</v>
      </c>
      <c r="T528" s="136"/>
      <c r="U528" s="136"/>
      <c r="V528" s="45">
        <f t="shared" si="314"/>
        <v>-1458</v>
      </c>
      <c r="W528" s="143"/>
    </row>
    <row r="529" spans="1:23" ht="15.75" customHeight="1">
      <c r="A529" s="114"/>
      <c r="B529" s="118"/>
      <c r="C529" s="117"/>
      <c r="D529" s="19">
        <f t="shared" si="308"/>
        <v>-1458</v>
      </c>
      <c r="E529" s="106"/>
      <c r="F529" s="107"/>
      <c r="G529" s="26">
        <f t="shared" si="309"/>
        <v>-1458</v>
      </c>
      <c r="H529" s="133"/>
      <c r="I529" s="117"/>
      <c r="J529" s="19">
        <f t="shared" si="310"/>
        <v>-1458</v>
      </c>
      <c r="K529" s="106"/>
      <c r="L529" s="107"/>
      <c r="M529" s="26">
        <f t="shared" si="311"/>
        <v>-1458</v>
      </c>
      <c r="N529" s="117"/>
      <c r="O529" s="117"/>
      <c r="P529" s="38">
        <f t="shared" si="312"/>
        <v>-1458</v>
      </c>
      <c r="Q529" s="106"/>
      <c r="R529" s="107"/>
      <c r="S529" s="26">
        <f t="shared" si="313"/>
        <v>-1458</v>
      </c>
      <c r="T529" s="136"/>
      <c r="U529" s="136"/>
      <c r="V529" s="45">
        <f t="shared" si="314"/>
        <v>-1458</v>
      </c>
      <c r="W529" s="143"/>
    </row>
    <row r="530" spans="1:23" ht="15.75" customHeight="1">
      <c r="A530" s="114"/>
      <c r="B530" s="117"/>
      <c r="C530" s="117"/>
      <c r="D530" s="19">
        <f t="shared" si="308"/>
        <v>-1458</v>
      </c>
      <c r="E530" s="106"/>
      <c r="F530" s="107"/>
      <c r="G530" s="26">
        <f t="shared" si="309"/>
        <v>-1458</v>
      </c>
      <c r="H530" s="133"/>
      <c r="I530" s="117"/>
      <c r="J530" s="19">
        <f t="shared" si="310"/>
        <v>-1458</v>
      </c>
      <c r="K530" s="106"/>
      <c r="L530" s="107"/>
      <c r="M530" s="26">
        <f t="shared" si="311"/>
        <v>-1458</v>
      </c>
      <c r="N530" s="117"/>
      <c r="O530" s="117"/>
      <c r="P530" s="38">
        <f t="shared" si="312"/>
        <v>-1458</v>
      </c>
      <c r="Q530" s="106"/>
      <c r="R530" s="107"/>
      <c r="S530" s="26">
        <f t="shared" si="313"/>
        <v>-1458</v>
      </c>
      <c r="T530" s="136"/>
      <c r="U530" s="136"/>
      <c r="V530" s="45">
        <f t="shared" si="314"/>
        <v>-1458</v>
      </c>
      <c r="W530" s="143"/>
    </row>
    <row r="531" spans="1:23" ht="15.75" customHeight="1">
      <c r="A531" s="114"/>
      <c r="B531" s="117"/>
      <c r="C531" s="117"/>
      <c r="D531" s="19">
        <f t="shared" si="308"/>
        <v>-1458</v>
      </c>
      <c r="E531" s="106"/>
      <c r="F531" s="107"/>
      <c r="G531" s="26">
        <f t="shared" si="309"/>
        <v>-1458</v>
      </c>
      <c r="H531" s="133"/>
      <c r="I531" s="117"/>
      <c r="J531" s="19">
        <f t="shared" si="310"/>
        <v>-1458</v>
      </c>
      <c r="K531" s="106"/>
      <c r="L531" s="107"/>
      <c r="M531" s="26">
        <f t="shared" si="311"/>
        <v>-1458</v>
      </c>
      <c r="N531" s="117"/>
      <c r="O531" s="117"/>
      <c r="P531" s="38">
        <f t="shared" si="312"/>
        <v>-1458</v>
      </c>
      <c r="Q531" s="106"/>
      <c r="R531" s="107"/>
      <c r="S531" s="26">
        <f t="shared" si="313"/>
        <v>-1458</v>
      </c>
      <c r="T531" s="136"/>
      <c r="U531" s="136"/>
      <c r="V531" s="45">
        <f t="shared" si="314"/>
        <v>-1458</v>
      </c>
      <c r="W531" s="143"/>
    </row>
    <row r="532" spans="1:23" ht="15.75" customHeight="1">
      <c r="A532" s="114"/>
      <c r="B532" s="117"/>
      <c r="C532" s="117"/>
      <c r="D532" s="19">
        <f t="shared" si="308"/>
        <v>-1458</v>
      </c>
      <c r="E532" s="106"/>
      <c r="F532" s="107"/>
      <c r="G532" s="26">
        <f t="shared" si="309"/>
        <v>-1458</v>
      </c>
      <c r="H532" s="133"/>
      <c r="I532" s="117"/>
      <c r="J532" s="19">
        <f t="shared" si="310"/>
        <v>-1458</v>
      </c>
      <c r="K532" s="106"/>
      <c r="L532" s="107"/>
      <c r="M532" s="26">
        <f t="shared" si="311"/>
        <v>-1458</v>
      </c>
      <c r="N532" s="117"/>
      <c r="O532" s="117"/>
      <c r="P532" s="38">
        <f t="shared" si="312"/>
        <v>-1458</v>
      </c>
      <c r="Q532" s="106"/>
      <c r="R532" s="107"/>
      <c r="S532" s="26">
        <f t="shared" si="313"/>
        <v>-1458</v>
      </c>
      <c r="T532" s="136"/>
      <c r="U532" s="136"/>
      <c r="V532" s="45">
        <f t="shared" si="314"/>
        <v>-1458</v>
      </c>
      <c r="W532" s="143"/>
    </row>
    <row r="533" spans="1:23" ht="15.75" customHeight="1">
      <c r="A533" s="114"/>
      <c r="B533" s="117"/>
      <c r="C533" s="117"/>
      <c r="D533" s="19">
        <f t="shared" si="308"/>
        <v>-1458</v>
      </c>
      <c r="E533" s="122"/>
      <c r="F533" s="123"/>
      <c r="G533" s="26">
        <f t="shared" si="309"/>
        <v>-1458</v>
      </c>
      <c r="H533" s="133"/>
      <c r="I533" s="117"/>
      <c r="J533" s="19">
        <f t="shared" si="310"/>
        <v>-1458</v>
      </c>
      <c r="K533" s="122"/>
      <c r="L533" s="123"/>
      <c r="M533" s="26">
        <f t="shared" si="311"/>
        <v>-1458</v>
      </c>
      <c r="N533" s="117"/>
      <c r="O533" s="117"/>
      <c r="P533" s="38">
        <f t="shared" si="312"/>
        <v>-1458</v>
      </c>
      <c r="Q533" s="122"/>
      <c r="R533" s="123"/>
      <c r="S533" s="26">
        <f t="shared" si="313"/>
        <v>-1458</v>
      </c>
      <c r="T533" s="136"/>
      <c r="U533" s="136"/>
      <c r="V533" s="45">
        <f t="shared" si="314"/>
        <v>-1458</v>
      </c>
      <c r="W533" s="143"/>
    </row>
    <row r="534" spans="1:23" ht="15.75" customHeight="1">
      <c r="A534" s="114"/>
      <c r="B534" s="128"/>
      <c r="C534" s="128"/>
      <c r="D534" s="29">
        <f t="shared" si="308"/>
        <v>-1458</v>
      </c>
      <c r="E534" s="122"/>
      <c r="F534" s="123"/>
      <c r="G534" s="53">
        <f t="shared" si="309"/>
        <v>-1458</v>
      </c>
      <c r="H534" s="140"/>
      <c r="I534" s="128"/>
      <c r="J534" s="29">
        <f t="shared" si="310"/>
        <v>-1458</v>
      </c>
      <c r="K534" s="122"/>
      <c r="L534" s="123"/>
      <c r="M534" s="39">
        <f t="shared" si="311"/>
        <v>-1458</v>
      </c>
      <c r="N534" s="128"/>
      <c r="O534" s="128"/>
      <c r="P534" s="40">
        <f t="shared" si="312"/>
        <v>-1458</v>
      </c>
      <c r="Q534" s="122"/>
      <c r="R534" s="123"/>
      <c r="S534" s="39">
        <f t="shared" si="313"/>
        <v>-1458</v>
      </c>
      <c r="T534" s="141"/>
      <c r="U534" s="141"/>
      <c r="V534" s="46">
        <f t="shared" si="314"/>
        <v>-1458</v>
      </c>
      <c r="W534" s="143"/>
    </row>
    <row r="535" spans="1:23" ht="15.75" customHeight="1">
      <c r="A535" s="87"/>
      <c r="B535" s="77">
        <f ca="1">IFERROR(__xludf.DUMMYFUNCTION("DATE(VALUE(LEFT($B$2,4)),VALUE(MID($B$2,6,2)),VALUE(RIGHT($B$2,2)))
+ (VALUE(REGEXEXTRACT(INDIRECT(""A""&amp;ROW()+1),""\d+""))-1)*7
+ INT((COLUMN()-COLUMN($B535))/3)
"),46698)</f>
        <v>46698</v>
      </c>
      <c r="C535" s="81"/>
      <c r="D535" s="82"/>
      <c r="E535" s="77">
        <f ca="1">IFERROR(__xludf.DUMMYFUNCTION("DATE(VALUE(LEFT($B$2,4)),VALUE(MID($B$2,6,2)),VALUE(RIGHT($B$2,2)))
+ (VALUE(REGEXEXTRACT(INDIRECT(""A""&amp;ROW()+1),""\d+""))-1)*7
+ INT((COLUMN()-COLUMN($B535))/3)
"),46699)</f>
        <v>46699</v>
      </c>
      <c r="F535" s="81"/>
      <c r="G535" s="82"/>
      <c r="H535" s="77">
        <f ca="1">IFERROR(__xludf.DUMMYFUNCTION("DATE(VALUE(LEFT($B$2,4)),VALUE(MID($B$2,6,2)),VALUE(RIGHT($B$2,2)))
+ (VALUE(REGEXEXTRACT(INDIRECT(""A""&amp;ROW()+1),""\d+""))-1)*7
+ INT((COLUMN()-COLUMN($B535))/3)
"),46700)</f>
        <v>46700</v>
      </c>
      <c r="I535" s="81"/>
      <c r="J535" s="82"/>
      <c r="K535" s="77">
        <f ca="1">IFERROR(__xludf.DUMMYFUNCTION("DATE(VALUE(LEFT($B$2,4)),VALUE(MID($B$2,6,2)),VALUE(RIGHT($B$2,2)))
+ (VALUE(REGEXEXTRACT(INDIRECT(""A""&amp;ROW()+1),""\d+""))-1)*7
+ INT((COLUMN()-COLUMN($B535))/3)
"),46701)</f>
        <v>46701</v>
      </c>
      <c r="L535" s="81"/>
      <c r="M535" s="82"/>
      <c r="N535" s="77">
        <f ca="1">IFERROR(__xludf.DUMMYFUNCTION("DATE(VALUE(LEFT($B$2,4)),VALUE(MID($B$2,6,2)),VALUE(RIGHT($B$2,2)))
+ (VALUE(REGEXEXTRACT(INDIRECT(""A""&amp;ROW()+1),""\d+""))-1)*7
+ INT((COLUMN()-COLUMN($B535))/3)
"),46702)</f>
        <v>46702</v>
      </c>
      <c r="O535" s="81"/>
      <c r="P535" s="82"/>
      <c r="Q535" s="77">
        <f ca="1">IFERROR(__xludf.DUMMYFUNCTION("DATE(VALUE(LEFT($B$2,4)),VALUE(MID($B$2,6,2)),VALUE(RIGHT($B$2,2)))
+ (VALUE(REGEXEXTRACT(INDIRECT(""A""&amp;ROW()+1),""\d+""))-1)*7
+ INT((COLUMN()-COLUMN($B535))/3)
"),46703)</f>
        <v>46703</v>
      </c>
      <c r="R535" s="81"/>
      <c r="S535" s="82"/>
      <c r="T535" s="77">
        <f ca="1">IFERROR(__xludf.DUMMYFUNCTION("DATE(VALUE(LEFT($B$2,4)),VALUE(MID($B$2,6,2)),VALUE(RIGHT($B$2,2)))
+ (VALUE(REGEXEXTRACT(INDIRECT(""A""&amp;ROW()+1),""\d+""))-1)*7
+ INT((COLUMN()-COLUMN($B535))/3)
"),46704)</f>
        <v>46704</v>
      </c>
      <c r="U535" s="81"/>
      <c r="V535" s="82"/>
      <c r="W535" s="143"/>
    </row>
    <row r="536" spans="1:23" ht="15.75" customHeight="1">
      <c r="A536" s="51" t="s">
        <v>174</v>
      </c>
      <c r="B536" s="112"/>
      <c r="C536" s="111"/>
      <c r="D536" s="17">
        <f>V534+C536</f>
        <v>-1458</v>
      </c>
      <c r="E536" s="109"/>
      <c r="F536" s="109"/>
      <c r="G536" s="54">
        <f>D546+F536</f>
        <v>-1458</v>
      </c>
      <c r="H536" s="110"/>
      <c r="I536" s="111"/>
      <c r="J536" s="17">
        <f>G546+I536</f>
        <v>-1458</v>
      </c>
      <c r="K536" s="109"/>
      <c r="L536" s="109"/>
      <c r="M536" s="35">
        <f>J546+L536</f>
        <v>-1458</v>
      </c>
      <c r="N536" s="112"/>
      <c r="O536" s="111"/>
      <c r="P536" s="17">
        <f>M546+O536</f>
        <v>-1458</v>
      </c>
      <c r="Q536" s="109"/>
      <c r="R536" s="109"/>
      <c r="S536" s="35">
        <f>P546+R536</f>
        <v>-1458</v>
      </c>
      <c r="T536" s="112"/>
      <c r="U536" s="111"/>
      <c r="V536" s="48">
        <f>S546+U536</f>
        <v>-1458</v>
      </c>
      <c r="W536" s="143"/>
    </row>
    <row r="537" spans="1:23" ht="15.75" customHeight="1">
      <c r="A537" s="114"/>
      <c r="B537" s="106"/>
      <c r="C537" s="107"/>
      <c r="D537" s="26">
        <f t="shared" ref="D537:D546" si="315">D536+C537</f>
        <v>-1458</v>
      </c>
      <c r="E537" s="117"/>
      <c r="F537" s="117"/>
      <c r="G537" s="19">
        <f t="shared" ref="G537:G546" si="316">G536+F537</f>
        <v>-1458</v>
      </c>
      <c r="H537" s="116"/>
      <c r="I537" s="107"/>
      <c r="J537" s="26">
        <f t="shared" ref="J537:J546" si="317">J536+I537</f>
        <v>-1458</v>
      </c>
      <c r="K537" s="117"/>
      <c r="L537" s="117"/>
      <c r="M537" s="38">
        <f t="shared" ref="M537:M546" si="318">M536+L537</f>
        <v>-1458</v>
      </c>
      <c r="N537" s="106"/>
      <c r="O537" s="107"/>
      <c r="P537" s="26">
        <f t="shared" ref="P537:P546" si="319">P536+O537</f>
        <v>-1458</v>
      </c>
      <c r="Q537" s="117"/>
      <c r="R537" s="117"/>
      <c r="S537" s="38">
        <f t="shared" ref="S537:S546" si="320">S536+R537</f>
        <v>-1458</v>
      </c>
      <c r="T537" s="106"/>
      <c r="U537" s="107"/>
      <c r="V537" s="20">
        <f t="shared" ref="V537:V546" si="321">V536+U537</f>
        <v>-1458</v>
      </c>
      <c r="W537" s="143"/>
    </row>
    <row r="538" spans="1:23" ht="15.75" customHeight="1">
      <c r="A538" s="114"/>
      <c r="B538" s="106"/>
      <c r="C538" s="107"/>
      <c r="D538" s="26">
        <f t="shared" si="315"/>
        <v>-1458</v>
      </c>
      <c r="E538" s="117"/>
      <c r="F538" s="117"/>
      <c r="G538" s="19">
        <f t="shared" si="316"/>
        <v>-1458</v>
      </c>
      <c r="H538" s="116"/>
      <c r="I538" s="107"/>
      <c r="J538" s="26">
        <f t="shared" si="317"/>
        <v>-1458</v>
      </c>
      <c r="K538" s="117"/>
      <c r="L538" s="117"/>
      <c r="M538" s="38">
        <f t="shared" si="318"/>
        <v>-1458</v>
      </c>
      <c r="N538" s="106"/>
      <c r="O538" s="107"/>
      <c r="P538" s="26">
        <f t="shared" si="319"/>
        <v>-1458</v>
      </c>
      <c r="Q538" s="117"/>
      <c r="R538" s="117"/>
      <c r="S538" s="38">
        <f t="shared" si="320"/>
        <v>-1458</v>
      </c>
      <c r="T538" s="106"/>
      <c r="U538" s="116"/>
      <c r="V538" s="20">
        <f t="shared" si="321"/>
        <v>-1458</v>
      </c>
      <c r="W538" s="143"/>
    </row>
    <row r="539" spans="1:23" ht="15.75" customHeight="1">
      <c r="A539" s="114"/>
      <c r="B539" s="106"/>
      <c r="C539" s="107"/>
      <c r="D539" s="26">
        <f t="shared" si="315"/>
        <v>-1458</v>
      </c>
      <c r="E539" s="117"/>
      <c r="F539" s="117"/>
      <c r="G539" s="19">
        <f t="shared" si="316"/>
        <v>-1458</v>
      </c>
      <c r="H539" s="116"/>
      <c r="I539" s="107"/>
      <c r="J539" s="26">
        <f t="shared" si="317"/>
        <v>-1458</v>
      </c>
      <c r="K539" s="117"/>
      <c r="L539" s="117"/>
      <c r="M539" s="38">
        <f t="shared" si="318"/>
        <v>-1458</v>
      </c>
      <c r="N539" s="106"/>
      <c r="O539" s="107"/>
      <c r="P539" s="26">
        <f t="shared" si="319"/>
        <v>-1458</v>
      </c>
      <c r="Q539" s="117"/>
      <c r="R539" s="117"/>
      <c r="S539" s="38">
        <f t="shared" si="320"/>
        <v>-1458</v>
      </c>
      <c r="T539" s="106"/>
      <c r="U539" s="116"/>
      <c r="V539" s="20">
        <f t="shared" si="321"/>
        <v>-1458</v>
      </c>
      <c r="W539" s="143"/>
    </row>
    <row r="540" spans="1:23" ht="15.75" customHeight="1">
      <c r="A540" s="114"/>
      <c r="B540" s="106"/>
      <c r="C540" s="107"/>
      <c r="D540" s="26">
        <f t="shared" si="315"/>
        <v>-1458</v>
      </c>
      <c r="E540" s="117"/>
      <c r="F540" s="117"/>
      <c r="G540" s="19">
        <f t="shared" si="316"/>
        <v>-1458</v>
      </c>
      <c r="H540" s="116"/>
      <c r="I540" s="107"/>
      <c r="J540" s="26">
        <f t="shared" si="317"/>
        <v>-1458</v>
      </c>
      <c r="K540" s="117"/>
      <c r="L540" s="117"/>
      <c r="M540" s="38">
        <f t="shared" si="318"/>
        <v>-1458</v>
      </c>
      <c r="N540" s="106"/>
      <c r="O540" s="107"/>
      <c r="P540" s="26">
        <f t="shared" si="319"/>
        <v>-1458</v>
      </c>
      <c r="Q540" s="117"/>
      <c r="R540" s="117"/>
      <c r="S540" s="38">
        <f t="shared" si="320"/>
        <v>-1458</v>
      </c>
      <c r="T540" s="106"/>
      <c r="U540" s="116"/>
      <c r="V540" s="20">
        <f t="shared" si="321"/>
        <v>-1458</v>
      </c>
      <c r="W540" s="143"/>
    </row>
    <row r="541" spans="1:23" ht="15.75" customHeight="1">
      <c r="A541" s="114"/>
      <c r="B541" s="106"/>
      <c r="C541" s="107"/>
      <c r="D541" s="26">
        <f t="shared" si="315"/>
        <v>-1458</v>
      </c>
      <c r="E541" s="117"/>
      <c r="F541" s="117"/>
      <c r="G541" s="19">
        <f t="shared" si="316"/>
        <v>-1458</v>
      </c>
      <c r="H541" s="116"/>
      <c r="I541" s="107"/>
      <c r="J541" s="26">
        <f t="shared" si="317"/>
        <v>-1458</v>
      </c>
      <c r="K541" s="117"/>
      <c r="L541" s="117"/>
      <c r="M541" s="38">
        <f t="shared" si="318"/>
        <v>-1458</v>
      </c>
      <c r="N541" s="106"/>
      <c r="O541" s="107"/>
      <c r="P541" s="26">
        <f t="shared" si="319"/>
        <v>-1458</v>
      </c>
      <c r="Q541" s="117"/>
      <c r="R541" s="117"/>
      <c r="S541" s="38">
        <f t="shared" si="320"/>
        <v>-1458</v>
      </c>
      <c r="T541" s="106"/>
      <c r="U541" s="116"/>
      <c r="V541" s="20">
        <f t="shared" si="321"/>
        <v>-1458</v>
      </c>
      <c r="W541" s="143"/>
    </row>
    <row r="542" spans="1:23" ht="15.75" customHeight="1">
      <c r="A542" s="114"/>
      <c r="B542" s="106"/>
      <c r="C542" s="107"/>
      <c r="D542" s="26">
        <f t="shared" si="315"/>
        <v>-1458</v>
      </c>
      <c r="E542" s="117"/>
      <c r="F542" s="117"/>
      <c r="G542" s="19">
        <f t="shared" si="316"/>
        <v>-1458</v>
      </c>
      <c r="H542" s="116"/>
      <c r="I542" s="107"/>
      <c r="J542" s="26">
        <f t="shared" si="317"/>
        <v>-1458</v>
      </c>
      <c r="K542" s="117"/>
      <c r="L542" s="117"/>
      <c r="M542" s="38">
        <f t="shared" si="318"/>
        <v>-1458</v>
      </c>
      <c r="N542" s="106"/>
      <c r="O542" s="107"/>
      <c r="P542" s="26">
        <f t="shared" si="319"/>
        <v>-1458</v>
      </c>
      <c r="Q542" s="117"/>
      <c r="R542" s="117"/>
      <c r="S542" s="38">
        <f t="shared" si="320"/>
        <v>-1458</v>
      </c>
      <c r="T542" s="106"/>
      <c r="U542" s="116"/>
      <c r="V542" s="20">
        <f t="shared" si="321"/>
        <v>-1458</v>
      </c>
      <c r="W542" s="143"/>
    </row>
    <row r="543" spans="1:23" ht="15.75" customHeight="1">
      <c r="A543" s="114"/>
      <c r="B543" s="106"/>
      <c r="C543" s="107"/>
      <c r="D543" s="26">
        <f t="shared" si="315"/>
        <v>-1458</v>
      </c>
      <c r="E543" s="117"/>
      <c r="F543" s="117"/>
      <c r="G543" s="19">
        <f t="shared" si="316"/>
        <v>-1458</v>
      </c>
      <c r="H543" s="116"/>
      <c r="I543" s="107"/>
      <c r="J543" s="26">
        <f t="shared" si="317"/>
        <v>-1458</v>
      </c>
      <c r="K543" s="117"/>
      <c r="L543" s="117"/>
      <c r="M543" s="38">
        <f t="shared" si="318"/>
        <v>-1458</v>
      </c>
      <c r="N543" s="106"/>
      <c r="O543" s="107"/>
      <c r="P543" s="26">
        <f t="shared" si="319"/>
        <v>-1458</v>
      </c>
      <c r="Q543" s="117"/>
      <c r="R543" s="117"/>
      <c r="S543" s="38">
        <f t="shared" si="320"/>
        <v>-1458</v>
      </c>
      <c r="T543" s="106"/>
      <c r="U543" s="116"/>
      <c r="V543" s="20">
        <f t="shared" si="321"/>
        <v>-1458</v>
      </c>
      <c r="W543" s="143"/>
    </row>
    <row r="544" spans="1:23" ht="15.75" customHeight="1">
      <c r="A544" s="114"/>
      <c r="B544" s="122"/>
      <c r="C544" s="123"/>
      <c r="D544" s="26">
        <f t="shared" si="315"/>
        <v>-1458</v>
      </c>
      <c r="E544" s="117"/>
      <c r="F544" s="117"/>
      <c r="G544" s="19">
        <f t="shared" si="316"/>
        <v>-1458</v>
      </c>
      <c r="H544" s="124"/>
      <c r="I544" s="123"/>
      <c r="J544" s="26">
        <f t="shared" si="317"/>
        <v>-1458</v>
      </c>
      <c r="K544" s="117"/>
      <c r="L544" s="117"/>
      <c r="M544" s="38">
        <f t="shared" si="318"/>
        <v>-1458</v>
      </c>
      <c r="N544" s="122"/>
      <c r="O544" s="123"/>
      <c r="P544" s="26">
        <f t="shared" si="319"/>
        <v>-1458</v>
      </c>
      <c r="Q544" s="117"/>
      <c r="R544" s="117"/>
      <c r="S544" s="38">
        <f t="shared" si="320"/>
        <v>-1458</v>
      </c>
      <c r="T544" s="106"/>
      <c r="U544" s="116"/>
      <c r="V544" s="20">
        <f t="shared" si="321"/>
        <v>-1458</v>
      </c>
      <c r="W544" s="143"/>
    </row>
    <row r="545" spans="1:23" ht="15.75" customHeight="1">
      <c r="A545" s="114"/>
      <c r="B545" s="122"/>
      <c r="C545" s="123"/>
      <c r="D545" s="26">
        <f t="shared" si="315"/>
        <v>-1458</v>
      </c>
      <c r="E545" s="117"/>
      <c r="F545" s="117"/>
      <c r="G545" s="19">
        <f t="shared" si="316"/>
        <v>-1458</v>
      </c>
      <c r="H545" s="124"/>
      <c r="I545" s="123"/>
      <c r="J545" s="26">
        <f t="shared" si="317"/>
        <v>-1458</v>
      </c>
      <c r="K545" s="117"/>
      <c r="L545" s="117"/>
      <c r="M545" s="38">
        <f t="shared" si="318"/>
        <v>-1458</v>
      </c>
      <c r="N545" s="122"/>
      <c r="O545" s="123"/>
      <c r="P545" s="26">
        <f t="shared" si="319"/>
        <v>-1458</v>
      </c>
      <c r="Q545" s="117"/>
      <c r="R545" s="117"/>
      <c r="S545" s="38">
        <f t="shared" si="320"/>
        <v>-1458</v>
      </c>
      <c r="T545" s="122"/>
      <c r="U545" s="124"/>
      <c r="V545" s="20">
        <f t="shared" si="321"/>
        <v>-1458</v>
      </c>
      <c r="W545" s="143"/>
    </row>
    <row r="546" spans="1:23" ht="15.75" customHeight="1">
      <c r="A546" s="114"/>
      <c r="B546" s="122"/>
      <c r="C546" s="123"/>
      <c r="D546" s="39">
        <f t="shared" si="315"/>
        <v>-1458</v>
      </c>
      <c r="E546" s="128"/>
      <c r="F546" s="128"/>
      <c r="G546" s="55">
        <f t="shared" si="316"/>
        <v>-1458</v>
      </c>
      <c r="H546" s="124"/>
      <c r="I546" s="123"/>
      <c r="J546" s="39">
        <f t="shared" si="317"/>
        <v>-1458</v>
      </c>
      <c r="K546" s="128"/>
      <c r="L546" s="128"/>
      <c r="M546" s="40">
        <f t="shared" si="318"/>
        <v>-1458</v>
      </c>
      <c r="N546" s="122"/>
      <c r="O546" s="123"/>
      <c r="P546" s="39">
        <f t="shared" si="319"/>
        <v>-1458</v>
      </c>
      <c r="Q546" s="128"/>
      <c r="R546" s="128"/>
      <c r="S546" s="40">
        <f t="shared" si="320"/>
        <v>-1458</v>
      </c>
      <c r="T546" s="122"/>
      <c r="U546" s="123"/>
      <c r="V546" s="49">
        <f t="shared" si="321"/>
        <v>-1458</v>
      </c>
      <c r="W546" s="143"/>
    </row>
    <row r="547" spans="1:23" ht="15.75" customHeight="1">
      <c r="A547" s="87"/>
      <c r="B547" s="77">
        <f ca="1">IFERROR(__xludf.DUMMYFUNCTION("DATE(VALUE(LEFT($B$2,4)),VALUE(MID($B$2,6,2)),VALUE(RIGHT($B$2,2)))
+ (VALUE(REGEXEXTRACT(INDIRECT(""A""&amp;ROW()+1),""\d+""))-1)*7
+ INT((COLUMN()-COLUMN($B547))/3)
"),46705)</f>
        <v>46705</v>
      </c>
      <c r="C547" s="81"/>
      <c r="D547" s="82"/>
      <c r="E547" s="77">
        <f ca="1">IFERROR(__xludf.DUMMYFUNCTION("DATE(VALUE(LEFT($B$2,4)),VALUE(MID($B$2,6,2)),VALUE(RIGHT($B$2,2)))
+ (VALUE(REGEXEXTRACT(INDIRECT(""A""&amp;ROW()+1),""\d+""))-1)*7
+ INT((COLUMN()-COLUMN($B547))/3)
"),46706)</f>
        <v>46706</v>
      </c>
      <c r="F547" s="81"/>
      <c r="G547" s="82"/>
      <c r="H547" s="77">
        <f ca="1">IFERROR(__xludf.DUMMYFUNCTION("DATE(VALUE(LEFT($B$2,4)),VALUE(MID($B$2,6,2)),VALUE(RIGHT($B$2,2)))
+ (VALUE(REGEXEXTRACT(INDIRECT(""A""&amp;ROW()+1),""\d+""))-1)*7
+ INT((COLUMN()-COLUMN($B547))/3)
"),46707)</f>
        <v>46707</v>
      </c>
      <c r="I547" s="81"/>
      <c r="J547" s="82"/>
      <c r="K547" s="77">
        <f ca="1">IFERROR(__xludf.DUMMYFUNCTION("DATE(VALUE(LEFT($B$2,4)),VALUE(MID($B$2,6,2)),VALUE(RIGHT($B$2,2)))
+ (VALUE(REGEXEXTRACT(INDIRECT(""A""&amp;ROW()+1),""\d+""))-1)*7
+ INT((COLUMN()-COLUMN($B547))/3)
"),46708)</f>
        <v>46708</v>
      </c>
      <c r="L547" s="81"/>
      <c r="M547" s="82"/>
      <c r="N547" s="77">
        <f ca="1">IFERROR(__xludf.DUMMYFUNCTION("DATE(VALUE(LEFT($B$2,4)),VALUE(MID($B$2,6,2)),VALUE(RIGHT($B$2,2)))
+ (VALUE(REGEXEXTRACT(INDIRECT(""A""&amp;ROW()+1),""\d+""))-1)*7
+ INT((COLUMN()-COLUMN($B547))/3)
"),46709)</f>
        <v>46709</v>
      </c>
      <c r="O547" s="81"/>
      <c r="P547" s="82"/>
      <c r="Q547" s="77">
        <f ca="1">IFERROR(__xludf.DUMMYFUNCTION("DATE(VALUE(LEFT($B$2,4)),VALUE(MID($B$2,6,2)),VALUE(RIGHT($B$2,2)))
+ (VALUE(REGEXEXTRACT(INDIRECT(""A""&amp;ROW()+1),""\d+""))-1)*7
+ INT((COLUMN()-COLUMN($B547))/3)
"),46710)</f>
        <v>46710</v>
      </c>
      <c r="R547" s="81"/>
      <c r="S547" s="82"/>
      <c r="T547" s="77">
        <f ca="1">IFERROR(__xludf.DUMMYFUNCTION("DATE(VALUE(LEFT($B$2,4)),VALUE(MID($B$2,6,2)),VALUE(RIGHT($B$2,2)))
+ (VALUE(REGEXEXTRACT(INDIRECT(""A""&amp;ROW()+1),""\d+""))-1)*7
+ INT((COLUMN()-COLUMN($B547))/3)
"),46711)</f>
        <v>46711</v>
      </c>
      <c r="U547" s="81"/>
      <c r="V547" s="82"/>
      <c r="W547" s="52" t="s">
        <v>20</v>
      </c>
    </row>
    <row r="548" spans="1:23" ht="15.75" customHeight="1">
      <c r="A548" s="47" t="s">
        <v>175</v>
      </c>
      <c r="B548" s="109"/>
      <c r="C548" s="109"/>
      <c r="D548" s="42">
        <f>V546+C548</f>
        <v>-1458</v>
      </c>
      <c r="E548" s="112"/>
      <c r="F548" s="111"/>
      <c r="G548" s="36">
        <f>D558+F548</f>
        <v>-1458</v>
      </c>
      <c r="H548" s="132"/>
      <c r="I548" s="109"/>
      <c r="J548" s="42">
        <f>G558+I548</f>
        <v>-1458</v>
      </c>
      <c r="K548" s="112"/>
      <c r="L548" s="111"/>
      <c r="M548" s="18">
        <f>J558+L548</f>
        <v>-1458</v>
      </c>
      <c r="N548" s="113"/>
      <c r="O548" s="109"/>
      <c r="P548" s="35">
        <f>M558+O548</f>
        <v>-1458</v>
      </c>
      <c r="Q548" s="112"/>
      <c r="R548" s="111"/>
      <c r="S548" s="18">
        <f>P558+R548</f>
        <v>-1458</v>
      </c>
      <c r="T548" s="173"/>
      <c r="U548" s="173"/>
      <c r="V548" s="50">
        <f>S558+U548</f>
        <v>-1458</v>
      </c>
      <c r="W548" s="172"/>
    </row>
    <row r="549" spans="1:23" ht="15.75" customHeight="1">
      <c r="A549" s="114"/>
      <c r="B549" s="117"/>
      <c r="C549" s="117"/>
      <c r="D549" s="19">
        <f t="shared" ref="D549:D558" si="322">D548+C549</f>
        <v>-1458</v>
      </c>
      <c r="E549" s="106"/>
      <c r="F549" s="107"/>
      <c r="G549" s="26">
        <f t="shared" ref="G549:G558" si="323">G548+F549</f>
        <v>-1458</v>
      </c>
      <c r="H549" s="133"/>
      <c r="I549" s="117"/>
      <c r="J549" s="19">
        <f t="shared" ref="J549:J558" si="324">J548+I549</f>
        <v>-1458</v>
      </c>
      <c r="K549" s="106"/>
      <c r="L549" s="107"/>
      <c r="M549" s="26">
        <f t="shared" ref="M549:M558" si="325">M548+L549</f>
        <v>-1458</v>
      </c>
      <c r="N549" s="118"/>
      <c r="O549" s="117"/>
      <c r="P549" s="38">
        <f t="shared" ref="P549:P558" si="326">P548+O549</f>
        <v>-1458</v>
      </c>
      <c r="Q549" s="106"/>
      <c r="R549" s="107"/>
      <c r="S549" s="26">
        <f t="shared" ref="S549:S558" si="327">S548+R549</f>
        <v>-1458</v>
      </c>
      <c r="T549" s="136"/>
      <c r="U549" s="136"/>
      <c r="V549" s="45">
        <f t="shared" ref="V549:V558" si="328">V548+U549</f>
        <v>-1458</v>
      </c>
      <c r="W549" s="143"/>
    </row>
    <row r="550" spans="1:23" ht="15.75" customHeight="1">
      <c r="A550" s="114"/>
      <c r="B550" s="118"/>
      <c r="C550" s="117"/>
      <c r="D550" s="19">
        <f t="shared" si="322"/>
        <v>-1458</v>
      </c>
      <c r="E550" s="106"/>
      <c r="F550" s="107"/>
      <c r="G550" s="26">
        <f t="shared" si="323"/>
        <v>-1458</v>
      </c>
      <c r="H550" s="133"/>
      <c r="I550" s="117"/>
      <c r="J550" s="19">
        <f t="shared" si="324"/>
        <v>-1458</v>
      </c>
      <c r="K550" s="106"/>
      <c r="L550" s="107"/>
      <c r="M550" s="26">
        <f t="shared" si="325"/>
        <v>-1458</v>
      </c>
      <c r="N550" s="117"/>
      <c r="O550" s="117"/>
      <c r="P550" s="38">
        <f t="shared" si="326"/>
        <v>-1458</v>
      </c>
      <c r="Q550" s="106"/>
      <c r="R550" s="107"/>
      <c r="S550" s="26">
        <f t="shared" si="327"/>
        <v>-1458</v>
      </c>
      <c r="T550" s="136"/>
      <c r="U550" s="136"/>
      <c r="V550" s="45">
        <f t="shared" si="328"/>
        <v>-1458</v>
      </c>
      <c r="W550" s="143"/>
    </row>
    <row r="551" spans="1:23" ht="15.75" customHeight="1">
      <c r="A551" s="114"/>
      <c r="B551" s="118"/>
      <c r="C551" s="117"/>
      <c r="D551" s="19">
        <f t="shared" si="322"/>
        <v>-1458</v>
      </c>
      <c r="E551" s="106"/>
      <c r="F551" s="107"/>
      <c r="G551" s="26">
        <f t="shared" si="323"/>
        <v>-1458</v>
      </c>
      <c r="H551" s="133"/>
      <c r="I551" s="117"/>
      <c r="J551" s="19">
        <f t="shared" si="324"/>
        <v>-1458</v>
      </c>
      <c r="K551" s="106"/>
      <c r="L551" s="107"/>
      <c r="M551" s="26">
        <f t="shared" si="325"/>
        <v>-1458</v>
      </c>
      <c r="N551" s="117"/>
      <c r="O551" s="117"/>
      <c r="P551" s="38">
        <f t="shared" si="326"/>
        <v>-1458</v>
      </c>
      <c r="Q551" s="106"/>
      <c r="R551" s="107"/>
      <c r="S551" s="26">
        <f t="shared" si="327"/>
        <v>-1458</v>
      </c>
      <c r="T551" s="136"/>
      <c r="U551" s="136"/>
      <c r="V551" s="45">
        <f t="shared" si="328"/>
        <v>-1458</v>
      </c>
      <c r="W551" s="143"/>
    </row>
    <row r="552" spans="1:23" ht="15.75" customHeight="1">
      <c r="A552" s="114"/>
      <c r="B552" s="118"/>
      <c r="C552" s="117"/>
      <c r="D552" s="19">
        <f t="shared" si="322"/>
        <v>-1458</v>
      </c>
      <c r="E552" s="106"/>
      <c r="F552" s="107"/>
      <c r="G552" s="26">
        <f t="shared" si="323"/>
        <v>-1458</v>
      </c>
      <c r="H552" s="133"/>
      <c r="I552" s="117"/>
      <c r="J552" s="19">
        <f t="shared" si="324"/>
        <v>-1458</v>
      </c>
      <c r="K552" s="106"/>
      <c r="L552" s="107"/>
      <c r="M552" s="26">
        <f t="shared" si="325"/>
        <v>-1458</v>
      </c>
      <c r="N552" s="117"/>
      <c r="O552" s="117"/>
      <c r="P552" s="38">
        <f t="shared" si="326"/>
        <v>-1458</v>
      </c>
      <c r="Q552" s="106"/>
      <c r="R552" s="107"/>
      <c r="S552" s="26">
        <f t="shared" si="327"/>
        <v>-1458</v>
      </c>
      <c r="T552" s="136"/>
      <c r="U552" s="136"/>
      <c r="V552" s="45">
        <f t="shared" si="328"/>
        <v>-1458</v>
      </c>
      <c r="W552" s="143"/>
    </row>
    <row r="553" spans="1:23" ht="15.75" customHeight="1">
      <c r="A553" s="114"/>
      <c r="B553" s="118"/>
      <c r="C553" s="117"/>
      <c r="D553" s="19">
        <f t="shared" si="322"/>
        <v>-1458</v>
      </c>
      <c r="E553" s="106"/>
      <c r="F553" s="107"/>
      <c r="G553" s="26">
        <f t="shared" si="323"/>
        <v>-1458</v>
      </c>
      <c r="H553" s="133"/>
      <c r="I553" s="117"/>
      <c r="J553" s="19">
        <f t="shared" si="324"/>
        <v>-1458</v>
      </c>
      <c r="K553" s="106"/>
      <c r="L553" s="107"/>
      <c r="M553" s="26">
        <f t="shared" si="325"/>
        <v>-1458</v>
      </c>
      <c r="N553" s="117"/>
      <c r="O553" s="117"/>
      <c r="P553" s="38">
        <f t="shared" si="326"/>
        <v>-1458</v>
      </c>
      <c r="Q553" s="106"/>
      <c r="R553" s="107"/>
      <c r="S553" s="26">
        <f t="shared" si="327"/>
        <v>-1458</v>
      </c>
      <c r="T553" s="136"/>
      <c r="U553" s="136"/>
      <c r="V553" s="45">
        <f t="shared" si="328"/>
        <v>-1458</v>
      </c>
      <c r="W553" s="143"/>
    </row>
    <row r="554" spans="1:23" ht="15.75" customHeight="1">
      <c r="A554" s="114"/>
      <c r="B554" s="118"/>
      <c r="C554" s="117"/>
      <c r="D554" s="19">
        <f t="shared" si="322"/>
        <v>-1458</v>
      </c>
      <c r="E554" s="106"/>
      <c r="F554" s="107"/>
      <c r="G554" s="26">
        <f t="shared" si="323"/>
        <v>-1458</v>
      </c>
      <c r="H554" s="133"/>
      <c r="I554" s="117"/>
      <c r="J554" s="19">
        <f t="shared" si="324"/>
        <v>-1458</v>
      </c>
      <c r="K554" s="106"/>
      <c r="L554" s="107"/>
      <c r="M554" s="26">
        <f t="shared" si="325"/>
        <v>-1458</v>
      </c>
      <c r="N554" s="117"/>
      <c r="O554" s="117"/>
      <c r="P554" s="38">
        <f t="shared" si="326"/>
        <v>-1458</v>
      </c>
      <c r="Q554" s="106"/>
      <c r="R554" s="107"/>
      <c r="S554" s="26">
        <f t="shared" si="327"/>
        <v>-1458</v>
      </c>
      <c r="T554" s="136"/>
      <c r="U554" s="136"/>
      <c r="V554" s="45">
        <f t="shared" si="328"/>
        <v>-1458</v>
      </c>
      <c r="W554" s="143"/>
    </row>
    <row r="555" spans="1:23" ht="15.75" customHeight="1">
      <c r="A555" s="114"/>
      <c r="B555" s="118"/>
      <c r="C555" s="117"/>
      <c r="D555" s="19">
        <f t="shared" si="322"/>
        <v>-1458</v>
      </c>
      <c r="E555" s="106"/>
      <c r="F555" s="107"/>
      <c r="G555" s="26">
        <f t="shared" si="323"/>
        <v>-1458</v>
      </c>
      <c r="H555" s="133"/>
      <c r="I555" s="117"/>
      <c r="J555" s="19">
        <f t="shared" si="324"/>
        <v>-1458</v>
      </c>
      <c r="K555" s="106"/>
      <c r="L555" s="107"/>
      <c r="M555" s="26">
        <f t="shared" si="325"/>
        <v>-1458</v>
      </c>
      <c r="N555" s="117"/>
      <c r="O555" s="117"/>
      <c r="P555" s="38">
        <f t="shared" si="326"/>
        <v>-1458</v>
      </c>
      <c r="Q555" s="106"/>
      <c r="R555" s="107"/>
      <c r="S555" s="26">
        <f t="shared" si="327"/>
        <v>-1458</v>
      </c>
      <c r="T555" s="136"/>
      <c r="U555" s="136"/>
      <c r="V555" s="45">
        <f t="shared" si="328"/>
        <v>-1458</v>
      </c>
      <c r="W555" s="143"/>
    </row>
    <row r="556" spans="1:23" ht="15.75" customHeight="1">
      <c r="A556" s="114"/>
      <c r="B556" s="117"/>
      <c r="C556" s="117"/>
      <c r="D556" s="19">
        <f t="shared" si="322"/>
        <v>-1458</v>
      </c>
      <c r="E556" s="106"/>
      <c r="F556" s="107"/>
      <c r="G556" s="26">
        <f t="shared" si="323"/>
        <v>-1458</v>
      </c>
      <c r="H556" s="133"/>
      <c r="I556" s="117"/>
      <c r="J556" s="19">
        <f t="shared" si="324"/>
        <v>-1458</v>
      </c>
      <c r="K556" s="106"/>
      <c r="L556" s="107"/>
      <c r="M556" s="26">
        <f t="shared" si="325"/>
        <v>-1458</v>
      </c>
      <c r="N556" s="117"/>
      <c r="O556" s="117"/>
      <c r="P556" s="38">
        <f t="shared" si="326"/>
        <v>-1458</v>
      </c>
      <c r="Q556" s="106"/>
      <c r="R556" s="107"/>
      <c r="S556" s="26">
        <f t="shared" si="327"/>
        <v>-1458</v>
      </c>
      <c r="T556" s="136"/>
      <c r="U556" s="136"/>
      <c r="V556" s="45">
        <f t="shared" si="328"/>
        <v>-1458</v>
      </c>
      <c r="W556" s="143"/>
    </row>
    <row r="557" spans="1:23" ht="15.75" customHeight="1">
      <c r="A557" s="114"/>
      <c r="B557" s="117"/>
      <c r="C557" s="117"/>
      <c r="D557" s="19">
        <f t="shared" si="322"/>
        <v>-1458</v>
      </c>
      <c r="E557" s="122"/>
      <c r="F557" s="123"/>
      <c r="G557" s="26">
        <f t="shared" si="323"/>
        <v>-1458</v>
      </c>
      <c r="H557" s="133"/>
      <c r="I557" s="117"/>
      <c r="J557" s="19">
        <f t="shared" si="324"/>
        <v>-1458</v>
      </c>
      <c r="K557" s="122"/>
      <c r="L557" s="123"/>
      <c r="M557" s="26">
        <f t="shared" si="325"/>
        <v>-1458</v>
      </c>
      <c r="N557" s="117"/>
      <c r="O557" s="117"/>
      <c r="P557" s="38">
        <f t="shared" si="326"/>
        <v>-1458</v>
      </c>
      <c r="Q557" s="122"/>
      <c r="R557" s="123"/>
      <c r="S557" s="26">
        <f t="shared" si="327"/>
        <v>-1458</v>
      </c>
      <c r="T557" s="136"/>
      <c r="U557" s="136"/>
      <c r="V557" s="45">
        <f t="shared" si="328"/>
        <v>-1458</v>
      </c>
      <c r="W557" s="143"/>
    </row>
    <row r="558" spans="1:23" ht="15.75" customHeight="1">
      <c r="A558" s="114"/>
      <c r="B558" s="128"/>
      <c r="C558" s="128"/>
      <c r="D558" s="29">
        <f t="shared" si="322"/>
        <v>-1458</v>
      </c>
      <c r="E558" s="122"/>
      <c r="F558" s="123"/>
      <c r="G558" s="53">
        <f t="shared" si="323"/>
        <v>-1458</v>
      </c>
      <c r="H558" s="140"/>
      <c r="I558" s="128"/>
      <c r="J558" s="29">
        <f t="shared" si="324"/>
        <v>-1458</v>
      </c>
      <c r="K558" s="122"/>
      <c r="L558" s="123"/>
      <c r="M558" s="39">
        <f t="shared" si="325"/>
        <v>-1458</v>
      </c>
      <c r="N558" s="128"/>
      <c r="O558" s="128"/>
      <c r="P558" s="40">
        <f t="shared" si="326"/>
        <v>-1458</v>
      </c>
      <c r="Q558" s="122"/>
      <c r="R558" s="123"/>
      <c r="S558" s="39">
        <f t="shared" si="327"/>
        <v>-1458</v>
      </c>
      <c r="T558" s="141"/>
      <c r="U558" s="141"/>
      <c r="V558" s="46">
        <f t="shared" si="328"/>
        <v>-1458</v>
      </c>
      <c r="W558" s="143"/>
    </row>
    <row r="559" spans="1:23" ht="15.75" customHeight="1">
      <c r="A559" s="87"/>
      <c r="B559" s="77">
        <f ca="1">IFERROR(__xludf.DUMMYFUNCTION("DATE(VALUE(LEFT($B$2,4)),VALUE(MID($B$2,6,2)),VALUE(RIGHT($B$2,2)))
+ (VALUE(REGEXEXTRACT(INDIRECT(""A""&amp;ROW()+1),""\d+""))-1)*7
+ INT((COLUMN()-COLUMN($B559))/3)
"),46712)</f>
        <v>46712</v>
      </c>
      <c r="C559" s="81"/>
      <c r="D559" s="82"/>
      <c r="E559" s="77">
        <f ca="1">IFERROR(__xludf.DUMMYFUNCTION("DATE(VALUE(LEFT($B$2,4)),VALUE(MID($B$2,6,2)),VALUE(RIGHT($B$2,2)))
+ (VALUE(REGEXEXTRACT(INDIRECT(""A""&amp;ROW()+1),""\d+""))-1)*7
+ INT((COLUMN()-COLUMN($B559))/3)
"),46713)</f>
        <v>46713</v>
      </c>
      <c r="F559" s="81"/>
      <c r="G559" s="82"/>
      <c r="H559" s="77">
        <f ca="1">IFERROR(__xludf.DUMMYFUNCTION("DATE(VALUE(LEFT($B$2,4)),VALUE(MID($B$2,6,2)),VALUE(RIGHT($B$2,2)))
+ (VALUE(REGEXEXTRACT(INDIRECT(""A""&amp;ROW()+1),""\d+""))-1)*7
+ INT((COLUMN()-COLUMN($B559))/3)
"),46714)</f>
        <v>46714</v>
      </c>
      <c r="I559" s="81"/>
      <c r="J559" s="82"/>
      <c r="K559" s="77">
        <f ca="1">IFERROR(__xludf.DUMMYFUNCTION("DATE(VALUE(LEFT($B$2,4)),VALUE(MID($B$2,6,2)),VALUE(RIGHT($B$2,2)))
+ (VALUE(REGEXEXTRACT(INDIRECT(""A""&amp;ROW()+1),""\d+""))-1)*7
+ INT((COLUMN()-COLUMN($B559))/3)
"),46715)</f>
        <v>46715</v>
      </c>
      <c r="L559" s="81"/>
      <c r="M559" s="82"/>
      <c r="N559" s="77">
        <f ca="1">IFERROR(__xludf.DUMMYFUNCTION("DATE(VALUE(LEFT($B$2,4)),VALUE(MID($B$2,6,2)),VALUE(RIGHT($B$2,2)))
+ (VALUE(REGEXEXTRACT(INDIRECT(""A""&amp;ROW()+1),""\d+""))-1)*7
+ INT((COLUMN()-COLUMN($B559))/3)
"),46716)</f>
        <v>46716</v>
      </c>
      <c r="O559" s="81"/>
      <c r="P559" s="82"/>
      <c r="Q559" s="77">
        <f ca="1">IFERROR(__xludf.DUMMYFUNCTION("DATE(VALUE(LEFT($B$2,4)),VALUE(MID($B$2,6,2)),VALUE(RIGHT($B$2,2)))
+ (VALUE(REGEXEXTRACT(INDIRECT(""A""&amp;ROW()+1),""\d+""))-1)*7
+ INT((COLUMN()-COLUMN($B559))/3)
"),46717)</f>
        <v>46717</v>
      </c>
      <c r="R559" s="81"/>
      <c r="S559" s="82"/>
      <c r="T559" s="77">
        <f ca="1">IFERROR(__xludf.DUMMYFUNCTION("DATE(VALUE(LEFT($B$2,4)),VALUE(MID($B$2,6,2)),VALUE(RIGHT($B$2,2)))
+ (VALUE(REGEXEXTRACT(INDIRECT(""A""&amp;ROW()+1),""\d+""))-1)*7
+ INT((COLUMN()-COLUMN($B559))/3)
"),46718)</f>
        <v>46718</v>
      </c>
      <c r="U559" s="81"/>
      <c r="V559" s="82"/>
      <c r="W559" s="143"/>
    </row>
    <row r="560" spans="1:23" ht="15.75" customHeight="1">
      <c r="A560" s="51" t="s">
        <v>176</v>
      </c>
      <c r="B560" s="112"/>
      <c r="C560" s="111"/>
      <c r="D560" s="17">
        <f>V558+C560</f>
        <v>-1458</v>
      </c>
      <c r="E560" s="109"/>
      <c r="F560" s="109"/>
      <c r="G560" s="42">
        <f>D570+F560</f>
        <v>-1458</v>
      </c>
      <c r="H560" s="112"/>
      <c r="I560" s="111"/>
      <c r="J560" s="17">
        <f>G570+I560</f>
        <v>-1458</v>
      </c>
      <c r="K560" s="109"/>
      <c r="L560" s="109"/>
      <c r="M560" s="35">
        <f>J570+L560</f>
        <v>-1458</v>
      </c>
      <c r="N560" s="112"/>
      <c r="O560" s="111"/>
      <c r="P560" s="17">
        <f>M570+O560</f>
        <v>-1458</v>
      </c>
      <c r="Q560" s="109"/>
      <c r="R560" s="109"/>
      <c r="S560" s="35">
        <f>P570+R560</f>
        <v>-1458</v>
      </c>
      <c r="T560" s="112"/>
      <c r="U560" s="111"/>
      <c r="V560" s="48">
        <f>S570+U560</f>
        <v>-1458</v>
      </c>
      <c r="W560" s="143"/>
    </row>
    <row r="561" spans="1:23" ht="15.75" customHeight="1">
      <c r="A561" s="114"/>
      <c r="B561" s="106"/>
      <c r="C561" s="107"/>
      <c r="D561" s="26">
        <f t="shared" ref="D561:D570" si="329">D560+C561</f>
        <v>-1458</v>
      </c>
      <c r="E561" s="117"/>
      <c r="F561" s="117"/>
      <c r="G561" s="19">
        <f t="shared" ref="G561:G570" si="330">G560+F561</f>
        <v>-1458</v>
      </c>
      <c r="H561" s="106"/>
      <c r="I561" s="107"/>
      <c r="J561" s="26">
        <f t="shared" ref="J561:J570" si="331">J560+I561</f>
        <v>-1458</v>
      </c>
      <c r="K561" s="117"/>
      <c r="L561" s="117"/>
      <c r="M561" s="38">
        <f t="shared" ref="M561:M570" si="332">M560+L561</f>
        <v>-1458</v>
      </c>
      <c r="N561" s="106"/>
      <c r="O561" s="107"/>
      <c r="P561" s="26">
        <f t="shared" ref="P561:P570" si="333">P560+O561</f>
        <v>-1458</v>
      </c>
      <c r="Q561" s="117"/>
      <c r="R561" s="117"/>
      <c r="S561" s="38">
        <f t="shared" ref="S561:S570" si="334">S560+R561</f>
        <v>-1458</v>
      </c>
      <c r="T561" s="106"/>
      <c r="U561" s="107"/>
      <c r="V561" s="20">
        <f t="shared" ref="V561:V570" si="335">V560+U561</f>
        <v>-1458</v>
      </c>
      <c r="W561" s="143"/>
    </row>
    <row r="562" spans="1:23" ht="15.75" customHeight="1">
      <c r="A562" s="114"/>
      <c r="B562" s="106"/>
      <c r="C562" s="107"/>
      <c r="D562" s="26">
        <f t="shared" si="329"/>
        <v>-1458</v>
      </c>
      <c r="E562" s="117"/>
      <c r="F562" s="117"/>
      <c r="G562" s="19">
        <f t="shared" si="330"/>
        <v>-1458</v>
      </c>
      <c r="H562" s="106"/>
      <c r="I562" s="107"/>
      <c r="J562" s="26">
        <f t="shared" si="331"/>
        <v>-1458</v>
      </c>
      <c r="K562" s="117"/>
      <c r="L562" s="117"/>
      <c r="M562" s="38">
        <f t="shared" si="332"/>
        <v>-1458</v>
      </c>
      <c r="N562" s="106"/>
      <c r="O562" s="107"/>
      <c r="P562" s="26">
        <f t="shared" si="333"/>
        <v>-1458</v>
      </c>
      <c r="Q562" s="117"/>
      <c r="R562" s="117"/>
      <c r="S562" s="38">
        <f t="shared" si="334"/>
        <v>-1458</v>
      </c>
      <c r="T562" s="106"/>
      <c r="U562" s="116"/>
      <c r="V562" s="20">
        <f t="shared" si="335"/>
        <v>-1458</v>
      </c>
      <c r="W562" s="143"/>
    </row>
    <row r="563" spans="1:23" ht="15.75" customHeight="1">
      <c r="A563" s="114"/>
      <c r="B563" s="106"/>
      <c r="C563" s="107"/>
      <c r="D563" s="26">
        <f t="shared" si="329"/>
        <v>-1458</v>
      </c>
      <c r="E563" s="117"/>
      <c r="F563" s="117"/>
      <c r="G563" s="19">
        <f t="shared" si="330"/>
        <v>-1458</v>
      </c>
      <c r="H563" s="106"/>
      <c r="I563" s="107"/>
      <c r="J563" s="26">
        <f t="shared" si="331"/>
        <v>-1458</v>
      </c>
      <c r="K563" s="117"/>
      <c r="L563" s="117"/>
      <c r="M563" s="38">
        <f t="shared" si="332"/>
        <v>-1458</v>
      </c>
      <c r="N563" s="106"/>
      <c r="O563" s="107"/>
      <c r="P563" s="26">
        <f t="shared" si="333"/>
        <v>-1458</v>
      </c>
      <c r="Q563" s="117"/>
      <c r="R563" s="117"/>
      <c r="S563" s="38">
        <f t="shared" si="334"/>
        <v>-1458</v>
      </c>
      <c r="T563" s="106"/>
      <c r="U563" s="116"/>
      <c r="V563" s="20">
        <f t="shared" si="335"/>
        <v>-1458</v>
      </c>
      <c r="W563" s="143"/>
    </row>
    <row r="564" spans="1:23" ht="15.75" customHeight="1">
      <c r="A564" s="114"/>
      <c r="B564" s="106"/>
      <c r="C564" s="107"/>
      <c r="D564" s="26">
        <f t="shared" si="329"/>
        <v>-1458</v>
      </c>
      <c r="E564" s="117"/>
      <c r="F564" s="117"/>
      <c r="G564" s="19">
        <f t="shared" si="330"/>
        <v>-1458</v>
      </c>
      <c r="H564" s="106"/>
      <c r="I564" s="107"/>
      <c r="J564" s="26">
        <f t="shared" si="331"/>
        <v>-1458</v>
      </c>
      <c r="K564" s="117"/>
      <c r="L564" s="117"/>
      <c r="M564" s="38">
        <f t="shared" si="332"/>
        <v>-1458</v>
      </c>
      <c r="N564" s="106"/>
      <c r="O564" s="107"/>
      <c r="P564" s="26">
        <f t="shared" si="333"/>
        <v>-1458</v>
      </c>
      <c r="Q564" s="117"/>
      <c r="R564" s="117"/>
      <c r="S564" s="38">
        <f t="shared" si="334"/>
        <v>-1458</v>
      </c>
      <c r="T564" s="106"/>
      <c r="U564" s="116"/>
      <c r="V564" s="20">
        <f t="shared" si="335"/>
        <v>-1458</v>
      </c>
      <c r="W564" s="143"/>
    </row>
    <row r="565" spans="1:23" ht="15.75" customHeight="1">
      <c r="A565" s="114"/>
      <c r="B565" s="106"/>
      <c r="C565" s="107"/>
      <c r="D565" s="26">
        <f t="shared" si="329"/>
        <v>-1458</v>
      </c>
      <c r="E565" s="117"/>
      <c r="F565" s="117"/>
      <c r="G565" s="19">
        <f t="shared" si="330"/>
        <v>-1458</v>
      </c>
      <c r="H565" s="106"/>
      <c r="I565" s="107"/>
      <c r="J565" s="26">
        <f t="shared" si="331"/>
        <v>-1458</v>
      </c>
      <c r="K565" s="117"/>
      <c r="L565" s="117"/>
      <c r="M565" s="38">
        <f t="shared" si="332"/>
        <v>-1458</v>
      </c>
      <c r="N565" s="106"/>
      <c r="O565" s="107"/>
      <c r="P565" s="26">
        <f t="shared" si="333"/>
        <v>-1458</v>
      </c>
      <c r="Q565" s="117"/>
      <c r="R565" s="117"/>
      <c r="S565" s="38">
        <f t="shared" si="334"/>
        <v>-1458</v>
      </c>
      <c r="T565" s="106"/>
      <c r="U565" s="116"/>
      <c r="V565" s="20">
        <f t="shared" si="335"/>
        <v>-1458</v>
      </c>
      <c r="W565" s="143"/>
    </row>
    <row r="566" spans="1:23" ht="15.75" customHeight="1">
      <c r="A566" s="114"/>
      <c r="B566" s="106"/>
      <c r="C566" s="107"/>
      <c r="D566" s="26">
        <f t="shared" si="329"/>
        <v>-1458</v>
      </c>
      <c r="E566" s="117"/>
      <c r="F566" s="117"/>
      <c r="G566" s="19">
        <f t="shared" si="330"/>
        <v>-1458</v>
      </c>
      <c r="H566" s="106"/>
      <c r="I566" s="107"/>
      <c r="J566" s="26">
        <f t="shared" si="331"/>
        <v>-1458</v>
      </c>
      <c r="K566" s="117"/>
      <c r="L566" s="117"/>
      <c r="M566" s="38">
        <f t="shared" si="332"/>
        <v>-1458</v>
      </c>
      <c r="N566" s="106"/>
      <c r="O566" s="107"/>
      <c r="P566" s="26">
        <f t="shared" si="333"/>
        <v>-1458</v>
      </c>
      <c r="Q566" s="117"/>
      <c r="R566" s="117"/>
      <c r="S566" s="38">
        <f t="shared" si="334"/>
        <v>-1458</v>
      </c>
      <c r="T566" s="106"/>
      <c r="U566" s="116"/>
      <c r="V566" s="20">
        <f t="shared" si="335"/>
        <v>-1458</v>
      </c>
      <c r="W566" s="143"/>
    </row>
    <row r="567" spans="1:23" ht="15.75" customHeight="1">
      <c r="A567" s="114"/>
      <c r="B567" s="106"/>
      <c r="C567" s="107"/>
      <c r="D567" s="26">
        <f t="shared" si="329"/>
        <v>-1458</v>
      </c>
      <c r="E567" s="117"/>
      <c r="F567" s="117"/>
      <c r="G567" s="19">
        <f t="shared" si="330"/>
        <v>-1458</v>
      </c>
      <c r="H567" s="106"/>
      <c r="I567" s="107"/>
      <c r="J567" s="26">
        <f t="shared" si="331"/>
        <v>-1458</v>
      </c>
      <c r="K567" s="117"/>
      <c r="L567" s="117"/>
      <c r="M567" s="38">
        <f t="shared" si="332"/>
        <v>-1458</v>
      </c>
      <c r="N567" s="106"/>
      <c r="O567" s="107"/>
      <c r="P567" s="26">
        <f t="shared" si="333"/>
        <v>-1458</v>
      </c>
      <c r="Q567" s="117"/>
      <c r="R567" s="117"/>
      <c r="S567" s="38">
        <f t="shared" si="334"/>
        <v>-1458</v>
      </c>
      <c r="T567" s="106"/>
      <c r="U567" s="116"/>
      <c r="V567" s="20">
        <f t="shared" si="335"/>
        <v>-1458</v>
      </c>
      <c r="W567" s="143"/>
    </row>
    <row r="568" spans="1:23" ht="15.75" customHeight="1">
      <c r="A568" s="114"/>
      <c r="B568" s="122"/>
      <c r="C568" s="123"/>
      <c r="D568" s="26">
        <f t="shared" si="329"/>
        <v>-1458</v>
      </c>
      <c r="E568" s="117"/>
      <c r="F568" s="117"/>
      <c r="G568" s="19">
        <f t="shared" si="330"/>
        <v>-1458</v>
      </c>
      <c r="H568" s="122"/>
      <c r="I568" s="123"/>
      <c r="J568" s="26">
        <f t="shared" si="331"/>
        <v>-1458</v>
      </c>
      <c r="K568" s="117"/>
      <c r="L568" s="117"/>
      <c r="M568" s="38">
        <f t="shared" si="332"/>
        <v>-1458</v>
      </c>
      <c r="N568" s="122"/>
      <c r="O568" s="123"/>
      <c r="P568" s="26">
        <f t="shared" si="333"/>
        <v>-1458</v>
      </c>
      <c r="Q568" s="117"/>
      <c r="R568" s="117"/>
      <c r="S568" s="38">
        <f t="shared" si="334"/>
        <v>-1458</v>
      </c>
      <c r="T568" s="106"/>
      <c r="U568" s="116"/>
      <c r="V568" s="20">
        <f t="shared" si="335"/>
        <v>-1458</v>
      </c>
      <c r="W568" s="143"/>
    </row>
    <row r="569" spans="1:23" ht="15.75" customHeight="1">
      <c r="A569" s="114"/>
      <c r="B569" s="122"/>
      <c r="C569" s="123"/>
      <c r="D569" s="26">
        <f t="shared" si="329"/>
        <v>-1458</v>
      </c>
      <c r="E569" s="117"/>
      <c r="F569" s="117"/>
      <c r="G569" s="19">
        <f t="shared" si="330"/>
        <v>-1458</v>
      </c>
      <c r="H569" s="122"/>
      <c r="I569" s="123"/>
      <c r="J569" s="26">
        <f t="shared" si="331"/>
        <v>-1458</v>
      </c>
      <c r="K569" s="117"/>
      <c r="L569" s="117"/>
      <c r="M569" s="38">
        <f t="shared" si="332"/>
        <v>-1458</v>
      </c>
      <c r="N569" s="122"/>
      <c r="O569" s="123"/>
      <c r="P569" s="26">
        <f t="shared" si="333"/>
        <v>-1458</v>
      </c>
      <c r="Q569" s="117"/>
      <c r="R569" s="117"/>
      <c r="S569" s="38">
        <f t="shared" si="334"/>
        <v>-1458</v>
      </c>
      <c r="T569" s="122"/>
      <c r="U569" s="124"/>
      <c r="V569" s="20">
        <f t="shared" si="335"/>
        <v>-1458</v>
      </c>
      <c r="W569" s="143"/>
    </row>
    <row r="570" spans="1:23" ht="15.75" customHeight="1">
      <c r="A570" s="114"/>
      <c r="B570" s="122"/>
      <c r="C570" s="123"/>
      <c r="D570" s="39">
        <f t="shared" si="329"/>
        <v>-1458</v>
      </c>
      <c r="E570" s="128"/>
      <c r="F570" s="128"/>
      <c r="G570" s="29">
        <f t="shared" si="330"/>
        <v>-1458</v>
      </c>
      <c r="H570" s="122"/>
      <c r="I570" s="123"/>
      <c r="J570" s="39">
        <f t="shared" si="331"/>
        <v>-1458</v>
      </c>
      <c r="K570" s="128"/>
      <c r="L570" s="128"/>
      <c r="M570" s="40">
        <f t="shared" si="332"/>
        <v>-1458</v>
      </c>
      <c r="N570" s="122"/>
      <c r="O570" s="123"/>
      <c r="P570" s="39">
        <f t="shared" si="333"/>
        <v>-1458</v>
      </c>
      <c r="Q570" s="128"/>
      <c r="R570" s="128"/>
      <c r="S570" s="40">
        <f t="shared" si="334"/>
        <v>-1458</v>
      </c>
      <c r="T570" s="122"/>
      <c r="U570" s="123"/>
      <c r="V570" s="49">
        <f t="shared" si="335"/>
        <v>-1458</v>
      </c>
      <c r="W570" s="143"/>
    </row>
    <row r="571" spans="1:23" ht="15.75" customHeight="1">
      <c r="A571" s="87"/>
      <c r="B571" s="77">
        <f ca="1">IFERROR(__xludf.DUMMYFUNCTION("DATE(VALUE(LEFT($B$2,4)),VALUE(MID($B$2,6,2)),VALUE(RIGHT($B$2,2)))
+ (VALUE(REGEXEXTRACT(INDIRECT(""A""&amp;ROW()+1),""\d+""))-1)*7
+ INT((COLUMN()-COLUMN($B571))/3)
"),46719)</f>
        <v>46719</v>
      </c>
      <c r="C571" s="81"/>
      <c r="D571" s="82"/>
      <c r="E571" s="77">
        <f ca="1">IFERROR(__xludf.DUMMYFUNCTION("DATE(VALUE(LEFT($B$2,4)),VALUE(MID($B$2,6,2)),VALUE(RIGHT($B$2,2)))
+ (VALUE(REGEXEXTRACT(INDIRECT(""A""&amp;ROW()+1),""\d+""))-1)*7
+ INT((COLUMN()-COLUMN($B571))/3)
"),46720)</f>
        <v>46720</v>
      </c>
      <c r="F571" s="81"/>
      <c r="G571" s="82"/>
      <c r="H571" s="77">
        <f ca="1">IFERROR(__xludf.DUMMYFUNCTION("DATE(VALUE(LEFT($B$2,4)),VALUE(MID($B$2,6,2)),VALUE(RIGHT($B$2,2)))
+ (VALUE(REGEXEXTRACT(INDIRECT(""A""&amp;ROW()+1),""\d+""))-1)*7
+ INT((COLUMN()-COLUMN($B571))/3)
"),46721)</f>
        <v>46721</v>
      </c>
      <c r="I571" s="81"/>
      <c r="J571" s="82"/>
      <c r="K571" s="77">
        <f ca="1">IFERROR(__xludf.DUMMYFUNCTION("DATE(VALUE(LEFT($B$2,4)),VALUE(MID($B$2,6,2)),VALUE(RIGHT($B$2,2)))
+ (VALUE(REGEXEXTRACT(INDIRECT(""A""&amp;ROW()+1),""\d+""))-1)*7
+ INT((COLUMN()-COLUMN($B571))/3)
"),46722)</f>
        <v>46722</v>
      </c>
      <c r="L571" s="81"/>
      <c r="M571" s="82"/>
      <c r="N571" s="77">
        <f ca="1">IFERROR(__xludf.DUMMYFUNCTION("DATE(VALUE(LEFT($B$2,4)),VALUE(MID($B$2,6,2)),VALUE(RIGHT($B$2,2)))
+ (VALUE(REGEXEXTRACT(INDIRECT(""A""&amp;ROW()+1),""\d+""))-1)*7
+ INT((COLUMN()-COLUMN($B571))/3)
"),46723)</f>
        <v>46723</v>
      </c>
      <c r="O571" s="81"/>
      <c r="P571" s="82"/>
      <c r="Q571" s="77">
        <f ca="1">IFERROR(__xludf.DUMMYFUNCTION("DATE(VALUE(LEFT($B$2,4)),VALUE(MID($B$2,6,2)),VALUE(RIGHT($B$2,2)))
+ (VALUE(REGEXEXTRACT(INDIRECT(""A""&amp;ROW()+1),""\d+""))-1)*7
+ INT((COLUMN()-COLUMN($B571))/3)
"),46724)</f>
        <v>46724</v>
      </c>
      <c r="R571" s="81"/>
      <c r="S571" s="82"/>
      <c r="T571" s="77">
        <f ca="1">IFERROR(__xludf.DUMMYFUNCTION("DATE(VALUE(LEFT($B$2,4)),VALUE(MID($B$2,6,2)),VALUE(RIGHT($B$2,2)))
+ (VALUE(REGEXEXTRACT(INDIRECT(""A""&amp;ROW()+1),""\d+""))-1)*7
+ INT((COLUMN()-COLUMN($B571))/3)
"),46725)</f>
        <v>46725</v>
      </c>
      <c r="U571" s="81"/>
      <c r="V571" s="82"/>
      <c r="W571" s="52" t="s">
        <v>20</v>
      </c>
    </row>
    <row r="572" spans="1:23" ht="15.75" customHeight="1">
      <c r="A572" s="47" t="s">
        <v>177</v>
      </c>
      <c r="B572" s="113"/>
      <c r="C572" s="109"/>
      <c r="D572" s="42">
        <f>V570+C572</f>
        <v>-1458</v>
      </c>
      <c r="E572" s="112"/>
      <c r="F572" s="111"/>
      <c r="G572" s="36">
        <f>D582+F572</f>
        <v>-1458</v>
      </c>
      <c r="H572" s="109"/>
      <c r="I572" s="109"/>
      <c r="J572" s="42">
        <f>G582+I572</f>
        <v>-1458</v>
      </c>
      <c r="K572" s="112"/>
      <c r="L572" s="111"/>
      <c r="M572" s="18">
        <f>J582+L572</f>
        <v>-1458</v>
      </c>
      <c r="N572" s="113"/>
      <c r="O572" s="109"/>
      <c r="P572" s="35">
        <f>M582+O572</f>
        <v>-1458</v>
      </c>
      <c r="Q572" s="112"/>
      <c r="R572" s="111"/>
      <c r="S572" s="36">
        <f>P582+R572</f>
        <v>-1458</v>
      </c>
      <c r="T572" s="176"/>
      <c r="U572" s="173"/>
      <c r="V572" s="50">
        <f>S582+U572</f>
        <v>-1458</v>
      </c>
      <c r="W572" s="172"/>
    </row>
    <row r="573" spans="1:23" ht="15.75" customHeight="1">
      <c r="A573" s="114"/>
      <c r="B573" s="118"/>
      <c r="C573" s="117"/>
      <c r="D573" s="19">
        <f t="shared" ref="D573:D582" si="336">D572+C573</f>
        <v>-1458</v>
      </c>
      <c r="E573" s="106"/>
      <c r="F573" s="107"/>
      <c r="G573" s="26">
        <f t="shared" ref="G573:G582" si="337">G572+F573</f>
        <v>-1458</v>
      </c>
      <c r="H573" s="117"/>
      <c r="I573" s="117"/>
      <c r="J573" s="19">
        <f t="shared" ref="J573:J582" si="338">J572+I573</f>
        <v>-1458</v>
      </c>
      <c r="K573" s="106"/>
      <c r="L573" s="107"/>
      <c r="M573" s="26">
        <f t="shared" ref="M573:M582" si="339">M572+L573</f>
        <v>-1458</v>
      </c>
      <c r="N573" s="118"/>
      <c r="O573" s="117"/>
      <c r="P573" s="38">
        <f t="shared" ref="P573:P582" si="340">P572+O573</f>
        <v>-1458</v>
      </c>
      <c r="Q573" s="106"/>
      <c r="R573" s="107"/>
      <c r="S573" s="26">
        <f t="shared" ref="S573:S582" si="341">S572+R573</f>
        <v>-1458</v>
      </c>
      <c r="T573" s="177"/>
      <c r="U573" s="136"/>
      <c r="V573" s="45">
        <f t="shared" ref="V573:V582" si="342">V572+U573</f>
        <v>-1458</v>
      </c>
      <c r="W573" s="143"/>
    </row>
    <row r="574" spans="1:23" ht="15.75" customHeight="1">
      <c r="A574" s="114"/>
      <c r="B574" s="118"/>
      <c r="C574" s="117"/>
      <c r="D574" s="19">
        <f t="shared" si="336"/>
        <v>-1458</v>
      </c>
      <c r="E574" s="106"/>
      <c r="F574" s="107"/>
      <c r="G574" s="26">
        <f t="shared" si="337"/>
        <v>-1458</v>
      </c>
      <c r="H574" s="117"/>
      <c r="I574" s="117"/>
      <c r="J574" s="19">
        <f t="shared" si="338"/>
        <v>-1458</v>
      </c>
      <c r="K574" s="106"/>
      <c r="L574" s="107"/>
      <c r="M574" s="26">
        <f t="shared" si="339"/>
        <v>-1458</v>
      </c>
      <c r="N574" s="117"/>
      <c r="O574" s="117"/>
      <c r="P574" s="38">
        <f t="shared" si="340"/>
        <v>-1458</v>
      </c>
      <c r="Q574" s="106"/>
      <c r="R574" s="107"/>
      <c r="S574" s="26">
        <f t="shared" si="341"/>
        <v>-1458</v>
      </c>
      <c r="T574" s="136"/>
      <c r="U574" s="136"/>
      <c r="V574" s="45">
        <f t="shared" si="342"/>
        <v>-1458</v>
      </c>
      <c r="W574" s="143"/>
    </row>
    <row r="575" spans="1:23" ht="15.75" customHeight="1">
      <c r="A575" s="114"/>
      <c r="B575" s="118"/>
      <c r="C575" s="117"/>
      <c r="D575" s="19">
        <f t="shared" si="336"/>
        <v>-1458</v>
      </c>
      <c r="E575" s="106"/>
      <c r="F575" s="107"/>
      <c r="G575" s="26">
        <f t="shared" si="337"/>
        <v>-1458</v>
      </c>
      <c r="H575" s="117"/>
      <c r="I575" s="117"/>
      <c r="J575" s="19">
        <f t="shared" si="338"/>
        <v>-1458</v>
      </c>
      <c r="K575" s="106"/>
      <c r="L575" s="107"/>
      <c r="M575" s="26">
        <f t="shared" si="339"/>
        <v>-1458</v>
      </c>
      <c r="N575" s="117"/>
      <c r="O575" s="117"/>
      <c r="P575" s="38">
        <f t="shared" si="340"/>
        <v>-1458</v>
      </c>
      <c r="Q575" s="106"/>
      <c r="R575" s="107"/>
      <c r="S575" s="26">
        <f t="shared" si="341"/>
        <v>-1458</v>
      </c>
      <c r="T575" s="136"/>
      <c r="U575" s="136"/>
      <c r="V575" s="45">
        <f t="shared" si="342"/>
        <v>-1458</v>
      </c>
      <c r="W575" s="143"/>
    </row>
    <row r="576" spans="1:23" ht="15.75" customHeight="1">
      <c r="A576" s="114"/>
      <c r="B576" s="118"/>
      <c r="C576" s="117"/>
      <c r="D576" s="19">
        <f t="shared" si="336"/>
        <v>-1458</v>
      </c>
      <c r="E576" s="106"/>
      <c r="F576" s="107"/>
      <c r="G576" s="26">
        <f t="shared" si="337"/>
        <v>-1458</v>
      </c>
      <c r="H576" s="117"/>
      <c r="I576" s="117"/>
      <c r="J576" s="19">
        <f t="shared" si="338"/>
        <v>-1458</v>
      </c>
      <c r="K576" s="106"/>
      <c r="L576" s="107"/>
      <c r="M576" s="26">
        <f t="shared" si="339"/>
        <v>-1458</v>
      </c>
      <c r="N576" s="117"/>
      <c r="O576" s="117"/>
      <c r="P576" s="38">
        <f t="shared" si="340"/>
        <v>-1458</v>
      </c>
      <c r="Q576" s="106"/>
      <c r="R576" s="107"/>
      <c r="S576" s="26">
        <f t="shared" si="341"/>
        <v>-1458</v>
      </c>
      <c r="T576" s="136"/>
      <c r="U576" s="136"/>
      <c r="V576" s="45">
        <f t="shared" si="342"/>
        <v>-1458</v>
      </c>
      <c r="W576" s="143"/>
    </row>
    <row r="577" spans="1:23" ht="15.75" customHeight="1">
      <c r="A577" s="114"/>
      <c r="B577" s="118"/>
      <c r="C577" s="117"/>
      <c r="D577" s="19">
        <f t="shared" si="336"/>
        <v>-1458</v>
      </c>
      <c r="E577" s="106"/>
      <c r="F577" s="107"/>
      <c r="G577" s="26">
        <f t="shared" si="337"/>
        <v>-1458</v>
      </c>
      <c r="H577" s="117"/>
      <c r="I577" s="117"/>
      <c r="J577" s="19">
        <f t="shared" si="338"/>
        <v>-1458</v>
      </c>
      <c r="K577" s="106"/>
      <c r="L577" s="107"/>
      <c r="M577" s="26">
        <f t="shared" si="339"/>
        <v>-1458</v>
      </c>
      <c r="N577" s="117"/>
      <c r="O577" s="117"/>
      <c r="P577" s="38">
        <f t="shared" si="340"/>
        <v>-1458</v>
      </c>
      <c r="Q577" s="106"/>
      <c r="R577" s="107"/>
      <c r="S577" s="26">
        <f t="shared" si="341"/>
        <v>-1458</v>
      </c>
      <c r="T577" s="136"/>
      <c r="U577" s="136"/>
      <c r="V577" s="45">
        <f t="shared" si="342"/>
        <v>-1458</v>
      </c>
      <c r="W577" s="143"/>
    </row>
    <row r="578" spans="1:23" ht="15.75" customHeight="1">
      <c r="A578" s="114"/>
      <c r="B578" s="117"/>
      <c r="C578" s="117"/>
      <c r="D578" s="19">
        <f t="shared" si="336"/>
        <v>-1458</v>
      </c>
      <c r="E578" s="106"/>
      <c r="F578" s="107"/>
      <c r="G578" s="26">
        <f t="shared" si="337"/>
        <v>-1458</v>
      </c>
      <c r="H578" s="117"/>
      <c r="I578" s="117"/>
      <c r="J578" s="19">
        <f t="shared" si="338"/>
        <v>-1458</v>
      </c>
      <c r="K578" s="106"/>
      <c r="L578" s="107"/>
      <c r="M578" s="26">
        <f t="shared" si="339"/>
        <v>-1458</v>
      </c>
      <c r="N578" s="117"/>
      <c r="O578" s="117"/>
      <c r="P578" s="38">
        <f t="shared" si="340"/>
        <v>-1458</v>
      </c>
      <c r="Q578" s="106"/>
      <c r="R578" s="107"/>
      <c r="S578" s="26">
        <f t="shared" si="341"/>
        <v>-1458</v>
      </c>
      <c r="T578" s="136"/>
      <c r="U578" s="136"/>
      <c r="V578" s="45">
        <f t="shared" si="342"/>
        <v>-1458</v>
      </c>
      <c r="W578" s="143"/>
    </row>
    <row r="579" spans="1:23" ht="15.75" customHeight="1">
      <c r="A579" s="114"/>
      <c r="B579" s="117"/>
      <c r="C579" s="117"/>
      <c r="D579" s="19">
        <f t="shared" si="336"/>
        <v>-1458</v>
      </c>
      <c r="E579" s="106"/>
      <c r="F579" s="107"/>
      <c r="G579" s="26">
        <f t="shared" si="337"/>
        <v>-1458</v>
      </c>
      <c r="H579" s="133"/>
      <c r="I579" s="117"/>
      <c r="J579" s="19">
        <f t="shared" si="338"/>
        <v>-1458</v>
      </c>
      <c r="K579" s="106"/>
      <c r="L579" s="107"/>
      <c r="M579" s="26">
        <f t="shared" si="339"/>
        <v>-1458</v>
      </c>
      <c r="N579" s="117"/>
      <c r="O579" s="117"/>
      <c r="P579" s="38">
        <f t="shared" si="340"/>
        <v>-1458</v>
      </c>
      <c r="Q579" s="106"/>
      <c r="R579" s="107"/>
      <c r="S579" s="26">
        <f t="shared" si="341"/>
        <v>-1458</v>
      </c>
      <c r="T579" s="136"/>
      <c r="U579" s="136"/>
      <c r="V579" s="45">
        <f t="shared" si="342"/>
        <v>-1458</v>
      </c>
      <c r="W579" s="143"/>
    </row>
    <row r="580" spans="1:23" ht="15.75" customHeight="1">
      <c r="A580" s="114"/>
      <c r="B580" s="117"/>
      <c r="C580" s="117"/>
      <c r="D580" s="19">
        <f t="shared" si="336"/>
        <v>-1458</v>
      </c>
      <c r="E580" s="106"/>
      <c r="F580" s="107"/>
      <c r="G580" s="26">
        <f t="shared" si="337"/>
        <v>-1458</v>
      </c>
      <c r="H580" s="133"/>
      <c r="I580" s="117"/>
      <c r="J580" s="19">
        <f t="shared" si="338"/>
        <v>-1458</v>
      </c>
      <c r="K580" s="106"/>
      <c r="L580" s="107"/>
      <c r="M580" s="26">
        <f t="shared" si="339"/>
        <v>-1458</v>
      </c>
      <c r="N580" s="117"/>
      <c r="O580" s="117"/>
      <c r="P580" s="38">
        <f t="shared" si="340"/>
        <v>-1458</v>
      </c>
      <c r="Q580" s="106"/>
      <c r="R580" s="107"/>
      <c r="S580" s="26">
        <f t="shared" si="341"/>
        <v>-1458</v>
      </c>
      <c r="T580" s="136"/>
      <c r="U580" s="136"/>
      <c r="V580" s="45">
        <f t="shared" si="342"/>
        <v>-1458</v>
      </c>
      <c r="W580" s="143"/>
    </row>
    <row r="581" spans="1:23" ht="15.75" customHeight="1">
      <c r="A581" s="114"/>
      <c r="B581" s="117"/>
      <c r="C581" s="117"/>
      <c r="D581" s="19">
        <f t="shared" si="336"/>
        <v>-1458</v>
      </c>
      <c r="E581" s="122"/>
      <c r="F581" s="123"/>
      <c r="G581" s="26">
        <f t="shared" si="337"/>
        <v>-1458</v>
      </c>
      <c r="H581" s="133"/>
      <c r="I581" s="117"/>
      <c r="J581" s="19">
        <f t="shared" si="338"/>
        <v>-1458</v>
      </c>
      <c r="K581" s="122"/>
      <c r="L581" s="123"/>
      <c r="M581" s="26">
        <f t="shared" si="339"/>
        <v>-1458</v>
      </c>
      <c r="N581" s="117"/>
      <c r="O581" s="117"/>
      <c r="P581" s="38">
        <f t="shared" si="340"/>
        <v>-1458</v>
      </c>
      <c r="Q581" s="122"/>
      <c r="R581" s="123"/>
      <c r="S581" s="26">
        <f t="shared" si="341"/>
        <v>-1458</v>
      </c>
      <c r="T581" s="136"/>
      <c r="U581" s="136"/>
      <c r="V581" s="45">
        <f t="shared" si="342"/>
        <v>-1458</v>
      </c>
      <c r="W581" s="143"/>
    </row>
    <row r="582" spans="1:23" ht="15.75" customHeight="1">
      <c r="A582" s="114"/>
      <c r="B582" s="128"/>
      <c r="C582" s="128"/>
      <c r="D582" s="29">
        <f t="shared" si="336"/>
        <v>-1458</v>
      </c>
      <c r="E582" s="122"/>
      <c r="F582" s="123"/>
      <c r="G582" s="53">
        <f t="shared" si="337"/>
        <v>-1458</v>
      </c>
      <c r="H582" s="140"/>
      <c r="I582" s="128"/>
      <c r="J582" s="29">
        <f t="shared" si="338"/>
        <v>-1458</v>
      </c>
      <c r="K582" s="122"/>
      <c r="L582" s="123"/>
      <c r="M582" s="39">
        <f t="shared" si="339"/>
        <v>-1458</v>
      </c>
      <c r="N582" s="128"/>
      <c r="O582" s="128"/>
      <c r="P582" s="40">
        <f t="shared" si="340"/>
        <v>-1458</v>
      </c>
      <c r="Q582" s="122"/>
      <c r="R582" s="123"/>
      <c r="S582" s="39">
        <f t="shared" si="341"/>
        <v>-1458</v>
      </c>
      <c r="T582" s="141"/>
      <c r="U582" s="141"/>
      <c r="V582" s="46">
        <f t="shared" si="342"/>
        <v>-1458</v>
      </c>
      <c r="W582" s="143"/>
    </row>
    <row r="583" spans="1:23" ht="15.75" customHeight="1">
      <c r="A583" s="87"/>
      <c r="B583" s="77">
        <f ca="1">IFERROR(__xludf.DUMMYFUNCTION("DATE(VALUE(LEFT($B$2,4)),VALUE(MID($B$2,6,2)),VALUE(RIGHT($B$2,2)))
+ (VALUE(REGEXEXTRACT(INDIRECT(""A""&amp;ROW()+1),""\d+""))-1)*7
+ INT((COLUMN()-COLUMN($B583))/3)
"),46726)</f>
        <v>46726</v>
      </c>
      <c r="C583" s="81"/>
      <c r="D583" s="82"/>
      <c r="E583" s="77">
        <f ca="1">IFERROR(__xludf.DUMMYFUNCTION("DATE(VALUE(LEFT($B$2,4)),VALUE(MID($B$2,6,2)),VALUE(RIGHT($B$2,2)))
+ (VALUE(REGEXEXTRACT(INDIRECT(""A""&amp;ROW()+1),""\d+""))-1)*7
+ INT((COLUMN()-COLUMN($B583))/3)
"),46727)</f>
        <v>46727</v>
      </c>
      <c r="F583" s="81"/>
      <c r="G583" s="82"/>
      <c r="H583" s="77">
        <f ca="1">IFERROR(__xludf.DUMMYFUNCTION("DATE(VALUE(LEFT($B$2,4)),VALUE(MID($B$2,6,2)),VALUE(RIGHT($B$2,2)))
+ (VALUE(REGEXEXTRACT(INDIRECT(""A""&amp;ROW()+1),""\d+""))-1)*7
+ INT((COLUMN()-COLUMN($B583))/3)
"),46728)</f>
        <v>46728</v>
      </c>
      <c r="I583" s="81"/>
      <c r="J583" s="82"/>
      <c r="K583" s="77">
        <f ca="1">IFERROR(__xludf.DUMMYFUNCTION("DATE(VALUE(LEFT($B$2,4)),VALUE(MID($B$2,6,2)),VALUE(RIGHT($B$2,2)))
+ (VALUE(REGEXEXTRACT(INDIRECT(""A""&amp;ROW()+1),""\d+""))-1)*7
+ INT((COLUMN()-COLUMN($B583))/3)
"),46729)</f>
        <v>46729</v>
      </c>
      <c r="L583" s="81"/>
      <c r="M583" s="82"/>
      <c r="N583" s="77">
        <f ca="1">IFERROR(__xludf.DUMMYFUNCTION("DATE(VALUE(LEFT($B$2,4)),VALUE(MID($B$2,6,2)),VALUE(RIGHT($B$2,2)))
+ (VALUE(REGEXEXTRACT(INDIRECT(""A""&amp;ROW()+1),""\d+""))-1)*7
+ INT((COLUMN()-COLUMN($B583))/3)
"),46730)</f>
        <v>46730</v>
      </c>
      <c r="O583" s="81"/>
      <c r="P583" s="82"/>
      <c r="Q583" s="77">
        <f ca="1">IFERROR(__xludf.DUMMYFUNCTION("DATE(VALUE(LEFT($B$2,4)),VALUE(MID($B$2,6,2)),VALUE(RIGHT($B$2,2)))
+ (VALUE(REGEXEXTRACT(INDIRECT(""A""&amp;ROW()+1),""\d+""))-1)*7
+ INT((COLUMN()-COLUMN($B583))/3)
"),46731)</f>
        <v>46731</v>
      </c>
      <c r="R583" s="81"/>
      <c r="S583" s="82"/>
      <c r="T583" s="77">
        <f ca="1">IFERROR(__xludf.DUMMYFUNCTION("DATE(VALUE(LEFT($B$2,4)),VALUE(MID($B$2,6,2)),VALUE(RIGHT($B$2,2)))
+ (VALUE(REGEXEXTRACT(INDIRECT(""A""&amp;ROW()+1),""\d+""))-1)*7
+ INT((COLUMN()-COLUMN($B583))/3)
"),46732)</f>
        <v>46732</v>
      </c>
      <c r="U583" s="81"/>
      <c r="V583" s="82"/>
      <c r="W583" s="143"/>
    </row>
    <row r="584" spans="1:23" ht="15.75" customHeight="1">
      <c r="A584" s="51" t="s">
        <v>178</v>
      </c>
      <c r="B584" s="112"/>
      <c r="C584" s="111"/>
      <c r="D584" s="17">
        <f>V582+C584</f>
        <v>-1458</v>
      </c>
      <c r="E584" s="109"/>
      <c r="F584" s="109"/>
      <c r="G584" s="54">
        <f>D594+F584</f>
        <v>-1458</v>
      </c>
      <c r="H584" s="110"/>
      <c r="I584" s="111"/>
      <c r="J584" s="17">
        <f>G594+I584</f>
        <v>-1458</v>
      </c>
      <c r="K584" s="109"/>
      <c r="L584" s="109"/>
      <c r="M584" s="35">
        <f>J594+L584</f>
        <v>-1458</v>
      </c>
      <c r="N584" s="112"/>
      <c r="O584" s="111"/>
      <c r="P584" s="17">
        <f>M594+O584</f>
        <v>-1458</v>
      </c>
      <c r="Q584" s="109"/>
      <c r="R584" s="109"/>
      <c r="S584" s="35">
        <f>P594+R584</f>
        <v>-1458</v>
      </c>
      <c r="T584" s="112"/>
      <c r="U584" s="111"/>
      <c r="V584" s="48">
        <f>S594+U584</f>
        <v>-1458</v>
      </c>
      <c r="W584" s="143"/>
    </row>
    <row r="585" spans="1:23" ht="15.75" customHeight="1">
      <c r="A585" s="114"/>
      <c r="B585" s="106"/>
      <c r="C585" s="107"/>
      <c r="D585" s="26">
        <f t="shared" ref="D585:D594" si="343">D584+C585</f>
        <v>-1458</v>
      </c>
      <c r="E585" s="117"/>
      <c r="F585" s="117"/>
      <c r="G585" s="19">
        <f t="shared" ref="G585:G594" si="344">G584+F585</f>
        <v>-1458</v>
      </c>
      <c r="H585" s="116"/>
      <c r="I585" s="107"/>
      <c r="J585" s="26">
        <f t="shared" ref="J585:J594" si="345">J584+I585</f>
        <v>-1458</v>
      </c>
      <c r="K585" s="117"/>
      <c r="L585" s="117"/>
      <c r="M585" s="38">
        <f t="shared" ref="M585:M594" si="346">M584+L585</f>
        <v>-1458</v>
      </c>
      <c r="N585" s="106"/>
      <c r="O585" s="107"/>
      <c r="P585" s="26">
        <f t="shared" ref="P585:P594" si="347">P584+O585</f>
        <v>-1458</v>
      </c>
      <c r="Q585" s="117"/>
      <c r="R585" s="117"/>
      <c r="S585" s="38">
        <f t="shared" ref="S585:S594" si="348">S584+R585</f>
        <v>-1458</v>
      </c>
      <c r="T585" s="106"/>
      <c r="U585" s="116"/>
      <c r="V585" s="20">
        <f t="shared" ref="V585:V594" si="349">V584+U585</f>
        <v>-1458</v>
      </c>
      <c r="W585" s="143"/>
    </row>
    <row r="586" spans="1:23" ht="15.75" customHeight="1">
      <c r="A586" s="114"/>
      <c r="B586" s="106"/>
      <c r="C586" s="107"/>
      <c r="D586" s="26">
        <f t="shared" si="343"/>
        <v>-1458</v>
      </c>
      <c r="E586" s="117"/>
      <c r="F586" s="117"/>
      <c r="G586" s="19">
        <f t="shared" si="344"/>
        <v>-1458</v>
      </c>
      <c r="H586" s="116"/>
      <c r="I586" s="107"/>
      <c r="J586" s="26">
        <f t="shared" si="345"/>
        <v>-1458</v>
      </c>
      <c r="K586" s="117"/>
      <c r="L586" s="117"/>
      <c r="M586" s="38">
        <f t="shared" si="346"/>
        <v>-1458</v>
      </c>
      <c r="N586" s="106"/>
      <c r="O586" s="107"/>
      <c r="P586" s="26">
        <f t="shared" si="347"/>
        <v>-1458</v>
      </c>
      <c r="Q586" s="117"/>
      <c r="R586" s="117"/>
      <c r="S586" s="38">
        <f t="shared" si="348"/>
        <v>-1458</v>
      </c>
      <c r="T586" s="106"/>
      <c r="U586" s="107"/>
      <c r="V586" s="20">
        <f t="shared" si="349"/>
        <v>-1458</v>
      </c>
      <c r="W586" s="143"/>
    </row>
    <row r="587" spans="1:23" ht="15.75" customHeight="1">
      <c r="A587" s="114"/>
      <c r="B587" s="106"/>
      <c r="C587" s="107"/>
      <c r="D587" s="26">
        <f t="shared" si="343"/>
        <v>-1458</v>
      </c>
      <c r="E587" s="117"/>
      <c r="F587" s="117"/>
      <c r="G587" s="19">
        <f t="shared" si="344"/>
        <v>-1458</v>
      </c>
      <c r="H587" s="116"/>
      <c r="I587" s="107"/>
      <c r="J587" s="26">
        <f t="shared" si="345"/>
        <v>-1458</v>
      </c>
      <c r="K587" s="117"/>
      <c r="L587" s="117"/>
      <c r="M587" s="38">
        <f t="shared" si="346"/>
        <v>-1458</v>
      </c>
      <c r="N587" s="106"/>
      <c r="O587" s="107"/>
      <c r="P587" s="26">
        <f t="shared" si="347"/>
        <v>-1458</v>
      </c>
      <c r="Q587" s="117"/>
      <c r="R587" s="117"/>
      <c r="S587" s="38">
        <f t="shared" si="348"/>
        <v>-1458</v>
      </c>
      <c r="T587" s="106"/>
      <c r="U587" s="107"/>
      <c r="V587" s="20">
        <f t="shared" si="349"/>
        <v>-1458</v>
      </c>
      <c r="W587" s="143"/>
    </row>
    <row r="588" spans="1:23" ht="15.75" customHeight="1">
      <c r="A588" s="114"/>
      <c r="B588" s="106"/>
      <c r="C588" s="107"/>
      <c r="D588" s="26">
        <f t="shared" si="343"/>
        <v>-1458</v>
      </c>
      <c r="E588" s="117"/>
      <c r="F588" s="117"/>
      <c r="G588" s="19">
        <f t="shared" si="344"/>
        <v>-1458</v>
      </c>
      <c r="H588" s="116"/>
      <c r="I588" s="107"/>
      <c r="J588" s="26">
        <f t="shared" si="345"/>
        <v>-1458</v>
      </c>
      <c r="K588" s="117"/>
      <c r="L588" s="117"/>
      <c r="M588" s="38">
        <f t="shared" si="346"/>
        <v>-1458</v>
      </c>
      <c r="N588" s="106"/>
      <c r="O588" s="107"/>
      <c r="P588" s="26">
        <f t="shared" si="347"/>
        <v>-1458</v>
      </c>
      <c r="Q588" s="117"/>
      <c r="R588" s="117"/>
      <c r="S588" s="38">
        <f t="shared" si="348"/>
        <v>-1458</v>
      </c>
      <c r="T588" s="106"/>
      <c r="U588" s="116"/>
      <c r="V588" s="20">
        <f t="shared" si="349"/>
        <v>-1458</v>
      </c>
      <c r="W588" s="143"/>
    </row>
    <row r="589" spans="1:23" ht="15.75" customHeight="1">
      <c r="A589" s="114"/>
      <c r="B589" s="106"/>
      <c r="C589" s="107"/>
      <c r="D589" s="26">
        <f t="shared" si="343"/>
        <v>-1458</v>
      </c>
      <c r="E589" s="117"/>
      <c r="F589" s="117"/>
      <c r="G589" s="19">
        <f t="shared" si="344"/>
        <v>-1458</v>
      </c>
      <c r="H589" s="116"/>
      <c r="I589" s="107"/>
      <c r="J589" s="26">
        <f t="shared" si="345"/>
        <v>-1458</v>
      </c>
      <c r="K589" s="117"/>
      <c r="L589" s="117"/>
      <c r="M589" s="38">
        <f t="shared" si="346"/>
        <v>-1458</v>
      </c>
      <c r="N589" s="106"/>
      <c r="O589" s="107"/>
      <c r="P589" s="26">
        <f t="shared" si="347"/>
        <v>-1458</v>
      </c>
      <c r="Q589" s="117"/>
      <c r="R589" s="117"/>
      <c r="S589" s="38">
        <f t="shared" si="348"/>
        <v>-1458</v>
      </c>
      <c r="T589" s="106"/>
      <c r="U589" s="116"/>
      <c r="V589" s="20">
        <f t="shared" si="349"/>
        <v>-1458</v>
      </c>
      <c r="W589" s="143"/>
    </row>
    <row r="590" spans="1:23" ht="15.75" customHeight="1">
      <c r="A590" s="114"/>
      <c r="B590" s="106"/>
      <c r="C590" s="107"/>
      <c r="D590" s="26">
        <f t="shared" si="343"/>
        <v>-1458</v>
      </c>
      <c r="E590" s="117"/>
      <c r="F590" s="117"/>
      <c r="G590" s="19">
        <f t="shared" si="344"/>
        <v>-1458</v>
      </c>
      <c r="H590" s="116"/>
      <c r="I590" s="107"/>
      <c r="J590" s="26">
        <f t="shared" si="345"/>
        <v>-1458</v>
      </c>
      <c r="K590" s="117"/>
      <c r="L590" s="117"/>
      <c r="M590" s="38">
        <f t="shared" si="346"/>
        <v>-1458</v>
      </c>
      <c r="N590" s="106"/>
      <c r="O590" s="107"/>
      <c r="P590" s="26">
        <f t="shared" si="347"/>
        <v>-1458</v>
      </c>
      <c r="Q590" s="117"/>
      <c r="R590" s="117"/>
      <c r="S590" s="38">
        <f t="shared" si="348"/>
        <v>-1458</v>
      </c>
      <c r="T590" s="106"/>
      <c r="U590" s="116"/>
      <c r="V590" s="20">
        <f t="shared" si="349"/>
        <v>-1458</v>
      </c>
      <c r="W590" s="143"/>
    </row>
    <row r="591" spans="1:23" ht="15.75" customHeight="1">
      <c r="A591" s="114"/>
      <c r="B591" s="106"/>
      <c r="C591" s="107"/>
      <c r="D591" s="26">
        <f t="shared" si="343"/>
        <v>-1458</v>
      </c>
      <c r="E591" s="117"/>
      <c r="F591" s="117"/>
      <c r="G591" s="19">
        <f t="shared" si="344"/>
        <v>-1458</v>
      </c>
      <c r="H591" s="116"/>
      <c r="I591" s="107"/>
      <c r="J591" s="26">
        <f t="shared" si="345"/>
        <v>-1458</v>
      </c>
      <c r="K591" s="117"/>
      <c r="L591" s="117"/>
      <c r="M591" s="38">
        <f t="shared" si="346"/>
        <v>-1458</v>
      </c>
      <c r="N591" s="106"/>
      <c r="O591" s="107"/>
      <c r="P591" s="26">
        <f t="shared" si="347"/>
        <v>-1458</v>
      </c>
      <c r="Q591" s="117"/>
      <c r="R591" s="117"/>
      <c r="S591" s="38">
        <f t="shared" si="348"/>
        <v>-1458</v>
      </c>
      <c r="T591" s="106"/>
      <c r="U591" s="116"/>
      <c r="V591" s="20">
        <f t="shared" si="349"/>
        <v>-1458</v>
      </c>
      <c r="W591" s="143"/>
    </row>
    <row r="592" spans="1:23" ht="15.75" customHeight="1">
      <c r="A592" s="114"/>
      <c r="B592" s="122"/>
      <c r="C592" s="123"/>
      <c r="D592" s="26">
        <f t="shared" si="343"/>
        <v>-1458</v>
      </c>
      <c r="E592" s="117"/>
      <c r="F592" s="117"/>
      <c r="G592" s="19">
        <f t="shared" si="344"/>
        <v>-1458</v>
      </c>
      <c r="H592" s="124"/>
      <c r="I592" s="123"/>
      <c r="J592" s="26">
        <f t="shared" si="345"/>
        <v>-1458</v>
      </c>
      <c r="K592" s="117"/>
      <c r="L592" s="117"/>
      <c r="M592" s="38">
        <f t="shared" si="346"/>
        <v>-1458</v>
      </c>
      <c r="N592" s="122"/>
      <c r="O592" s="123"/>
      <c r="P592" s="26">
        <f t="shared" si="347"/>
        <v>-1458</v>
      </c>
      <c r="Q592" s="117"/>
      <c r="R592" s="117"/>
      <c r="S592" s="38">
        <f t="shared" si="348"/>
        <v>-1458</v>
      </c>
      <c r="T592" s="106"/>
      <c r="U592" s="116"/>
      <c r="V592" s="20">
        <f t="shared" si="349"/>
        <v>-1458</v>
      </c>
      <c r="W592" s="143"/>
    </row>
    <row r="593" spans="1:23" ht="15.75" customHeight="1">
      <c r="A593" s="114"/>
      <c r="B593" s="122"/>
      <c r="C593" s="123"/>
      <c r="D593" s="26">
        <f t="shared" si="343"/>
        <v>-1458</v>
      </c>
      <c r="E593" s="117"/>
      <c r="F593" s="117"/>
      <c r="G593" s="19">
        <f t="shared" si="344"/>
        <v>-1458</v>
      </c>
      <c r="H593" s="124"/>
      <c r="I593" s="123"/>
      <c r="J593" s="26">
        <f t="shared" si="345"/>
        <v>-1458</v>
      </c>
      <c r="K593" s="117"/>
      <c r="L593" s="117"/>
      <c r="M593" s="38">
        <f t="shared" si="346"/>
        <v>-1458</v>
      </c>
      <c r="N593" s="122"/>
      <c r="O593" s="123"/>
      <c r="P593" s="26">
        <f t="shared" si="347"/>
        <v>-1458</v>
      </c>
      <c r="Q593" s="117"/>
      <c r="R593" s="117"/>
      <c r="S593" s="38">
        <f t="shared" si="348"/>
        <v>-1458</v>
      </c>
      <c r="T593" s="122"/>
      <c r="U593" s="124"/>
      <c r="V593" s="20">
        <f t="shared" si="349"/>
        <v>-1458</v>
      </c>
      <c r="W593" s="143"/>
    </row>
    <row r="594" spans="1:23" ht="15.75" customHeight="1">
      <c r="A594" s="114"/>
      <c r="B594" s="122"/>
      <c r="C594" s="123"/>
      <c r="D594" s="39">
        <f t="shared" si="343"/>
        <v>-1458</v>
      </c>
      <c r="E594" s="128"/>
      <c r="F594" s="128"/>
      <c r="G594" s="55">
        <f t="shared" si="344"/>
        <v>-1458</v>
      </c>
      <c r="H594" s="124"/>
      <c r="I594" s="123"/>
      <c r="J594" s="39">
        <f t="shared" si="345"/>
        <v>-1458</v>
      </c>
      <c r="K594" s="128"/>
      <c r="L594" s="128"/>
      <c r="M594" s="40">
        <f t="shared" si="346"/>
        <v>-1458</v>
      </c>
      <c r="N594" s="122"/>
      <c r="O594" s="123"/>
      <c r="P594" s="39">
        <f t="shared" si="347"/>
        <v>-1458</v>
      </c>
      <c r="Q594" s="128"/>
      <c r="R594" s="128"/>
      <c r="S594" s="40">
        <f t="shared" si="348"/>
        <v>-1458</v>
      </c>
      <c r="T594" s="122"/>
      <c r="U594" s="123"/>
      <c r="V594" s="49">
        <f t="shared" si="349"/>
        <v>-1458</v>
      </c>
      <c r="W594" s="143"/>
    </row>
    <row r="595" spans="1:23" ht="15.75" customHeight="1">
      <c r="A595" s="87"/>
      <c r="B595" s="77">
        <f ca="1">IFERROR(__xludf.DUMMYFUNCTION("DATE(VALUE(LEFT($B$2,4)),VALUE(MID($B$2,6,2)),VALUE(RIGHT($B$2,2)))
+ (VALUE(REGEXEXTRACT(INDIRECT(""A""&amp;ROW()+1),""\d+""))-1)*7
+ INT((COLUMN()-COLUMN($B595))/3)
"),46733)</f>
        <v>46733</v>
      </c>
      <c r="C595" s="81"/>
      <c r="D595" s="82"/>
      <c r="E595" s="77">
        <f ca="1">IFERROR(__xludf.DUMMYFUNCTION("DATE(VALUE(LEFT($B$2,4)),VALUE(MID($B$2,6,2)),VALUE(RIGHT($B$2,2)))
+ (VALUE(REGEXEXTRACT(INDIRECT(""A""&amp;ROW()+1),""\d+""))-1)*7
+ INT((COLUMN()-COLUMN($B595))/3)
"),46734)</f>
        <v>46734</v>
      </c>
      <c r="F595" s="81"/>
      <c r="G595" s="82"/>
      <c r="H595" s="77">
        <f ca="1">IFERROR(__xludf.DUMMYFUNCTION("DATE(VALUE(LEFT($B$2,4)),VALUE(MID($B$2,6,2)),VALUE(RIGHT($B$2,2)))
+ (VALUE(REGEXEXTRACT(INDIRECT(""A""&amp;ROW()+1),""\d+""))-1)*7
+ INT((COLUMN()-COLUMN($B595))/3)
"),46735)</f>
        <v>46735</v>
      </c>
      <c r="I595" s="81"/>
      <c r="J595" s="82"/>
      <c r="K595" s="77">
        <f ca="1">IFERROR(__xludf.DUMMYFUNCTION("DATE(VALUE(LEFT($B$2,4)),VALUE(MID($B$2,6,2)),VALUE(RIGHT($B$2,2)))
+ (VALUE(REGEXEXTRACT(INDIRECT(""A""&amp;ROW()+1),""\d+""))-1)*7
+ INT((COLUMN()-COLUMN($B595))/3)
"),46736)</f>
        <v>46736</v>
      </c>
      <c r="L595" s="81"/>
      <c r="M595" s="82"/>
      <c r="N595" s="77">
        <f ca="1">IFERROR(__xludf.DUMMYFUNCTION("DATE(VALUE(LEFT($B$2,4)),VALUE(MID($B$2,6,2)),VALUE(RIGHT($B$2,2)))
+ (VALUE(REGEXEXTRACT(INDIRECT(""A""&amp;ROW()+1),""\d+""))-1)*7
+ INT((COLUMN()-COLUMN($B595))/3)
"),46737)</f>
        <v>46737</v>
      </c>
      <c r="O595" s="81"/>
      <c r="P595" s="82"/>
      <c r="Q595" s="77">
        <f ca="1">IFERROR(__xludf.DUMMYFUNCTION("DATE(VALUE(LEFT($B$2,4)),VALUE(MID($B$2,6,2)),VALUE(RIGHT($B$2,2)))
+ (VALUE(REGEXEXTRACT(INDIRECT(""A""&amp;ROW()+1),""\d+""))-1)*7
+ INT((COLUMN()-COLUMN($B595))/3)
"),46738)</f>
        <v>46738</v>
      </c>
      <c r="R595" s="81"/>
      <c r="S595" s="82"/>
      <c r="T595" s="77">
        <f ca="1">IFERROR(__xludf.DUMMYFUNCTION("DATE(VALUE(LEFT($B$2,4)),VALUE(MID($B$2,6,2)),VALUE(RIGHT($B$2,2)))
+ (VALUE(REGEXEXTRACT(INDIRECT(""A""&amp;ROW()+1),""\d+""))-1)*7
+ INT((COLUMN()-COLUMN($B595))/3)
"),46739)</f>
        <v>46739</v>
      </c>
      <c r="U595" s="81"/>
      <c r="V595" s="82"/>
      <c r="W595" s="52" t="s">
        <v>20</v>
      </c>
    </row>
    <row r="596" spans="1:23" ht="15.75" customHeight="1">
      <c r="A596" s="47" t="s">
        <v>179</v>
      </c>
      <c r="B596" s="109"/>
      <c r="C596" s="109"/>
      <c r="D596" s="42">
        <f>V594+C596</f>
        <v>-1458</v>
      </c>
      <c r="E596" s="112"/>
      <c r="F596" s="111"/>
      <c r="G596" s="36">
        <f>D606+F596</f>
        <v>-1458</v>
      </c>
      <c r="H596" s="132"/>
      <c r="I596" s="109"/>
      <c r="J596" s="42">
        <f>G606+I596</f>
        <v>-1458</v>
      </c>
      <c r="K596" s="112"/>
      <c r="L596" s="111"/>
      <c r="M596" s="18">
        <f>J606+L596</f>
        <v>-1458</v>
      </c>
      <c r="N596" s="113"/>
      <c r="O596" s="109"/>
      <c r="P596" s="35">
        <f>M606+O596</f>
        <v>-1458</v>
      </c>
      <c r="Q596" s="112"/>
      <c r="R596" s="111"/>
      <c r="S596" s="36">
        <f>P606+R596</f>
        <v>-1458</v>
      </c>
      <c r="T596" s="176"/>
      <c r="U596" s="173"/>
      <c r="V596" s="50">
        <f>S606+U596</f>
        <v>-1458</v>
      </c>
      <c r="W596" s="172"/>
    </row>
    <row r="597" spans="1:23" ht="15.75" customHeight="1">
      <c r="A597" s="114"/>
      <c r="B597" s="117"/>
      <c r="C597" s="117"/>
      <c r="D597" s="19">
        <f t="shared" ref="D597:D606" si="350">D596+C597</f>
        <v>-1458</v>
      </c>
      <c r="E597" s="106"/>
      <c r="F597" s="107"/>
      <c r="G597" s="26">
        <f t="shared" ref="G597:G606" si="351">G596+F597</f>
        <v>-1458</v>
      </c>
      <c r="H597" s="133"/>
      <c r="I597" s="117"/>
      <c r="J597" s="19">
        <f t="shared" ref="J597:J606" si="352">J596+I597</f>
        <v>-1458</v>
      </c>
      <c r="K597" s="106"/>
      <c r="L597" s="107"/>
      <c r="M597" s="26">
        <f t="shared" ref="M597:M606" si="353">M596+L597</f>
        <v>-1458</v>
      </c>
      <c r="N597" s="118"/>
      <c r="O597" s="117"/>
      <c r="P597" s="38">
        <f t="shared" ref="P597:P606" si="354">P596+O597</f>
        <v>-1458</v>
      </c>
      <c r="Q597" s="106"/>
      <c r="R597" s="107"/>
      <c r="S597" s="26">
        <f t="shared" ref="S597:S606" si="355">S596+R597</f>
        <v>-1458</v>
      </c>
      <c r="T597" s="177"/>
      <c r="U597" s="136"/>
      <c r="V597" s="45">
        <f t="shared" ref="V597:V606" si="356">V596+U597</f>
        <v>-1458</v>
      </c>
      <c r="W597" s="143"/>
    </row>
    <row r="598" spans="1:23" ht="15.75" customHeight="1">
      <c r="A598" s="114"/>
      <c r="B598" s="118"/>
      <c r="C598" s="117"/>
      <c r="D598" s="19">
        <f t="shared" si="350"/>
        <v>-1458</v>
      </c>
      <c r="E598" s="106"/>
      <c r="F598" s="107"/>
      <c r="G598" s="26">
        <f t="shared" si="351"/>
        <v>-1458</v>
      </c>
      <c r="H598" s="133"/>
      <c r="I598" s="117"/>
      <c r="J598" s="19">
        <f t="shared" si="352"/>
        <v>-1458</v>
      </c>
      <c r="K598" s="106"/>
      <c r="L598" s="107"/>
      <c r="M598" s="26">
        <f t="shared" si="353"/>
        <v>-1458</v>
      </c>
      <c r="N598" s="117"/>
      <c r="O598" s="117"/>
      <c r="P598" s="38">
        <f t="shared" si="354"/>
        <v>-1458</v>
      </c>
      <c r="Q598" s="106"/>
      <c r="R598" s="107"/>
      <c r="S598" s="26">
        <f t="shared" si="355"/>
        <v>-1458</v>
      </c>
      <c r="T598" s="136"/>
      <c r="U598" s="136"/>
      <c r="V598" s="45">
        <f t="shared" si="356"/>
        <v>-1458</v>
      </c>
      <c r="W598" s="143"/>
    </row>
    <row r="599" spans="1:23" ht="15.75" customHeight="1">
      <c r="A599" s="114"/>
      <c r="B599" s="118"/>
      <c r="C599" s="117"/>
      <c r="D599" s="19">
        <f t="shared" si="350"/>
        <v>-1458</v>
      </c>
      <c r="E599" s="106"/>
      <c r="F599" s="107"/>
      <c r="G599" s="26">
        <f t="shared" si="351"/>
        <v>-1458</v>
      </c>
      <c r="H599" s="133"/>
      <c r="I599" s="117"/>
      <c r="J599" s="19">
        <f t="shared" si="352"/>
        <v>-1458</v>
      </c>
      <c r="K599" s="106"/>
      <c r="L599" s="107"/>
      <c r="M599" s="26">
        <f t="shared" si="353"/>
        <v>-1458</v>
      </c>
      <c r="N599" s="117"/>
      <c r="O599" s="117"/>
      <c r="P599" s="38">
        <f t="shared" si="354"/>
        <v>-1458</v>
      </c>
      <c r="Q599" s="106"/>
      <c r="R599" s="107"/>
      <c r="S599" s="26">
        <f t="shared" si="355"/>
        <v>-1458</v>
      </c>
      <c r="T599" s="136"/>
      <c r="U599" s="136"/>
      <c r="V599" s="45">
        <f t="shared" si="356"/>
        <v>-1458</v>
      </c>
      <c r="W599" s="143"/>
    </row>
    <row r="600" spans="1:23" ht="15.75" customHeight="1">
      <c r="A600" s="114"/>
      <c r="B600" s="118"/>
      <c r="C600" s="117"/>
      <c r="D600" s="19">
        <f t="shared" si="350"/>
        <v>-1458</v>
      </c>
      <c r="E600" s="106"/>
      <c r="F600" s="107"/>
      <c r="G600" s="26">
        <f t="shared" si="351"/>
        <v>-1458</v>
      </c>
      <c r="H600" s="133"/>
      <c r="I600" s="117"/>
      <c r="J600" s="19">
        <f t="shared" si="352"/>
        <v>-1458</v>
      </c>
      <c r="K600" s="106"/>
      <c r="L600" s="107"/>
      <c r="M600" s="26">
        <f t="shared" si="353"/>
        <v>-1458</v>
      </c>
      <c r="N600" s="117"/>
      <c r="O600" s="117"/>
      <c r="P600" s="38">
        <f t="shared" si="354"/>
        <v>-1458</v>
      </c>
      <c r="Q600" s="106"/>
      <c r="R600" s="107"/>
      <c r="S600" s="26">
        <f t="shared" si="355"/>
        <v>-1458</v>
      </c>
      <c r="T600" s="136"/>
      <c r="U600" s="136"/>
      <c r="V600" s="45">
        <f t="shared" si="356"/>
        <v>-1458</v>
      </c>
      <c r="W600" s="143"/>
    </row>
    <row r="601" spans="1:23" ht="15.75" customHeight="1">
      <c r="A601" s="114"/>
      <c r="B601" s="118"/>
      <c r="C601" s="117"/>
      <c r="D601" s="19">
        <f t="shared" si="350"/>
        <v>-1458</v>
      </c>
      <c r="E601" s="106"/>
      <c r="F601" s="107"/>
      <c r="G601" s="26">
        <f t="shared" si="351"/>
        <v>-1458</v>
      </c>
      <c r="H601" s="133"/>
      <c r="I601" s="117"/>
      <c r="J601" s="19">
        <f t="shared" si="352"/>
        <v>-1458</v>
      </c>
      <c r="K601" s="106"/>
      <c r="L601" s="107"/>
      <c r="M601" s="26">
        <f t="shared" si="353"/>
        <v>-1458</v>
      </c>
      <c r="N601" s="117"/>
      <c r="O601" s="117"/>
      <c r="P601" s="38">
        <f t="shared" si="354"/>
        <v>-1458</v>
      </c>
      <c r="Q601" s="106"/>
      <c r="R601" s="107"/>
      <c r="S601" s="26">
        <f t="shared" si="355"/>
        <v>-1458</v>
      </c>
      <c r="T601" s="136"/>
      <c r="U601" s="136"/>
      <c r="V601" s="45">
        <f t="shared" si="356"/>
        <v>-1458</v>
      </c>
      <c r="W601" s="143"/>
    </row>
    <row r="602" spans="1:23" ht="15.75" customHeight="1">
      <c r="A602" s="114"/>
      <c r="B602" s="118"/>
      <c r="C602" s="117"/>
      <c r="D602" s="19">
        <f t="shared" si="350"/>
        <v>-1458</v>
      </c>
      <c r="E602" s="106"/>
      <c r="F602" s="107"/>
      <c r="G602" s="26">
        <f t="shared" si="351"/>
        <v>-1458</v>
      </c>
      <c r="H602" s="133"/>
      <c r="I602" s="117"/>
      <c r="J602" s="19">
        <f t="shared" si="352"/>
        <v>-1458</v>
      </c>
      <c r="K602" s="106"/>
      <c r="L602" s="107"/>
      <c r="M602" s="26">
        <f t="shared" si="353"/>
        <v>-1458</v>
      </c>
      <c r="N602" s="117"/>
      <c r="O602" s="117"/>
      <c r="P602" s="38">
        <f t="shared" si="354"/>
        <v>-1458</v>
      </c>
      <c r="Q602" s="106"/>
      <c r="R602" s="107"/>
      <c r="S602" s="26">
        <f t="shared" si="355"/>
        <v>-1458</v>
      </c>
      <c r="T602" s="136"/>
      <c r="U602" s="136"/>
      <c r="V602" s="45">
        <f t="shared" si="356"/>
        <v>-1458</v>
      </c>
      <c r="W602" s="143"/>
    </row>
    <row r="603" spans="1:23" ht="15.75" customHeight="1">
      <c r="A603" s="114"/>
      <c r="B603" s="118"/>
      <c r="C603" s="117"/>
      <c r="D603" s="19">
        <f t="shared" si="350"/>
        <v>-1458</v>
      </c>
      <c r="E603" s="106"/>
      <c r="F603" s="107"/>
      <c r="G603" s="26">
        <f t="shared" si="351"/>
        <v>-1458</v>
      </c>
      <c r="H603" s="133"/>
      <c r="I603" s="117"/>
      <c r="J603" s="19">
        <f t="shared" si="352"/>
        <v>-1458</v>
      </c>
      <c r="K603" s="106"/>
      <c r="L603" s="107"/>
      <c r="M603" s="26">
        <f t="shared" si="353"/>
        <v>-1458</v>
      </c>
      <c r="N603" s="117"/>
      <c r="O603" s="117"/>
      <c r="P603" s="38">
        <f t="shared" si="354"/>
        <v>-1458</v>
      </c>
      <c r="Q603" s="106"/>
      <c r="R603" s="107"/>
      <c r="S603" s="26">
        <f t="shared" si="355"/>
        <v>-1458</v>
      </c>
      <c r="T603" s="136"/>
      <c r="U603" s="136"/>
      <c r="V603" s="45">
        <f t="shared" si="356"/>
        <v>-1458</v>
      </c>
      <c r="W603" s="143"/>
    </row>
    <row r="604" spans="1:23" ht="15.75" customHeight="1">
      <c r="A604" s="114"/>
      <c r="B604" s="117"/>
      <c r="C604" s="117"/>
      <c r="D604" s="19">
        <f t="shared" si="350"/>
        <v>-1458</v>
      </c>
      <c r="E604" s="106"/>
      <c r="F604" s="107"/>
      <c r="G604" s="26">
        <f t="shared" si="351"/>
        <v>-1458</v>
      </c>
      <c r="H604" s="133"/>
      <c r="I604" s="117"/>
      <c r="J604" s="19">
        <f t="shared" si="352"/>
        <v>-1458</v>
      </c>
      <c r="K604" s="106"/>
      <c r="L604" s="107"/>
      <c r="M604" s="26">
        <f t="shared" si="353"/>
        <v>-1458</v>
      </c>
      <c r="N604" s="117"/>
      <c r="O604" s="117"/>
      <c r="P604" s="38">
        <f t="shared" si="354"/>
        <v>-1458</v>
      </c>
      <c r="Q604" s="106"/>
      <c r="R604" s="107"/>
      <c r="S604" s="26">
        <f t="shared" si="355"/>
        <v>-1458</v>
      </c>
      <c r="T604" s="136"/>
      <c r="U604" s="136"/>
      <c r="V604" s="45">
        <f t="shared" si="356"/>
        <v>-1458</v>
      </c>
      <c r="W604" s="143"/>
    </row>
    <row r="605" spans="1:23" ht="15.75" customHeight="1">
      <c r="A605" s="114"/>
      <c r="B605" s="117"/>
      <c r="C605" s="117"/>
      <c r="D605" s="19">
        <f t="shared" si="350"/>
        <v>-1458</v>
      </c>
      <c r="E605" s="122"/>
      <c r="F605" s="123"/>
      <c r="G605" s="26">
        <f t="shared" si="351"/>
        <v>-1458</v>
      </c>
      <c r="H605" s="133"/>
      <c r="I605" s="117"/>
      <c r="J605" s="19">
        <f t="shared" si="352"/>
        <v>-1458</v>
      </c>
      <c r="K605" s="122"/>
      <c r="L605" s="123"/>
      <c r="M605" s="26">
        <f t="shared" si="353"/>
        <v>-1458</v>
      </c>
      <c r="N605" s="117"/>
      <c r="O605" s="117"/>
      <c r="P605" s="38">
        <f t="shared" si="354"/>
        <v>-1458</v>
      </c>
      <c r="Q605" s="122"/>
      <c r="R605" s="123"/>
      <c r="S605" s="26">
        <f t="shared" si="355"/>
        <v>-1458</v>
      </c>
      <c r="T605" s="136"/>
      <c r="U605" s="136"/>
      <c r="V605" s="45">
        <f t="shared" si="356"/>
        <v>-1458</v>
      </c>
      <c r="W605" s="143"/>
    </row>
    <row r="606" spans="1:23" ht="15.75" customHeight="1">
      <c r="A606" s="114"/>
      <c r="B606" s="128"/>
      <c r="C606" s="128"/>
      <c r="D606" s="29">
        <f t="shared" si="350"/>
        <v>-1458</v>
      </c>
      <c r="E606" s="122"/>
      <c r="F606" s="123"/>
      <c r="G606" s="53">
        <f t="shared" si="351"/>
        <v>-1458</v>
      </c>
      <c r="H606" s="140"/>
      <c r="I606" s="128"/>
      <c r="J606" s="29">
        <f t="shared" si="352"/>
        <v>-1458</v>
      </c>
      <c r="K606" s="122"/>
      <c r="L606" s="123"/>
      <c r="M606" s="39">
        <f t="shared" si="353"/>
        <v>-1458</v>
      </c>
      <c r="N606" s="128"/>
      <c r="O606" s="128"/>
      <c r="P606" s="40">
        <f t="shared" si="354"/>
        <v>-1458</v>
      </c>
      <c r="Q606" s="122"/>
      <c r="R606" s="123"/>
      <c r="S606" s="39">
        <f t="shared" si="355"/>
        <v>-1458</v>
      </c>
      <c r="T606" s="141"/>
      <c r="U606" s="141"/>
      <c r="V606" s="46">
        <f t="shared" si="356"/>
        <v>-1458</v>
      </c>
      <c r="W606" s="143"/>
    </row>
    <row r="607" spans="1:23" ht="15.75" customHeight="1">
      <c r="A607" s="87"/>
      <c r="B607" s="77">
        <f ca="1">IFERROR(__xludf.DUMMYFUNCTION("DATE(VALUE(LEFT($B$2,4)),VALUE(MID($B$2,6,2)),VALUE(RIGHT($B$2,2)))
+ (VALUE(REGEXEXTRACT(INDIRECT(""A""&amp;ROW()+1),""\d+""))-1)*7
+ INT((COLUMN()-COLUMN($B607))/3)
"),46740)</f>
        <v>46740</v>
      </c>
      <c r="C607" s="81"/>
      <c r="D607" s="82"/>
      <c r="E607" s="77">
        <f ca="1">IFERROR(__xludf.DUMMYFUNCTION("DATE(VALUE(LEFT($B$2,4)),VALUE(MID($B$2,6,2)),VALUE(RIGHT($B$2,2)))
+ (VALUE(REGEXEXTRACT(INDIRECT(""A""&amp;ROW()+1),""\d+""))-1)*7
+ INT((COLUMN()-COLUMN($B607))/3)
"),46741)</f>
        <v>46741</v>
      </c>
      <c r="F607" s="81"/>
      <c r="G607" s="82"/>
      <c r="H607" s="77">
        <f ca="1">IFERROR(__xludf.DUMMYFUNCTION("DATE(VALUE(LEFT($B$2,4)),VALUE(MID($B$2,6,2)),VALUE(RIGHT($B$2,2)))
+ (VALUE(REGEXEXTRACT(INDIRECT(""A""&amp;ROW()+1),""\d+""))-1)*7
+ INT((COLUMN()-COLUMN($B607))/3)
"),46742)</f>
        <v>46742</v>
      </c>
      <c r="I607" s="81"/>
      <c r="J607" s="82"/>
      <c r="K607" s="77">
        <f ca="1">IFERROR(__xludf.DUMMYFUNCTION("DATE(VALUE(LEFT($B$2,4)),VALUE(MID($B$2,6,2)),VALUE(RIGHT($B$2,2)))
+ (VALUE(REGEXEXTRACT(INDIRECT(""A""&amp;ROW()+1),""\d+""))-1)*7
+ INT((COLUMN()-COLUMN($B607))/3)
"),46743)</f>
        <v>46743</v>
      </c>
      <c r="L607" s="81"/>
      <c r="M607" s="82"/>
      <c r="N607" s="77">
        <f ca="1">IFERROR(__xludf.DUMMYFUNCTION("DATE(VALUE(LEFT($B$2,4)),VALUE(MID($B$2,6,2)),VALUE(RIGHT($B$2,2)))
+ (VALUE(REGEXEXTRACT(INDIRECT(""A""&amp;ROW()+1),""\d+""))-1)*7
+ INT((COLUMN()-COLUMN($B607))/3)
"),46744)</f>
        <v>46744</v>
      </c>
      <c r="O607" s="81"/>
      <c r="P607" s="82"/>
      <c r="Q607" s="77">
        <f ca="1">IFERROR(__xludf.DUMMYFUNCTION("DATE(VALUE(LEFT($B$2,4)),VALUE(MID($B$2,6,2)),VALUE(RIGHT($B$2,2)))
+ (VALUE(REGEXEXTRACT(INDIRECT(""A""&amp;ROW()+1),""\d+""))-1)*7
+ INT((COLUMN()-COLUMN($B607))/3)
"),46745)</f>
        <v>46745</v>
      </c>
      <c r="R607" s="81"/>
      <c r="S607" s="82"/>
      <c r="T607" s="77">
        <f ca="1">IFERROR(__xludf.DUMMYFUNCTION("DATE(VALUE(LEFT($B$2,4)),VALUE(MID($B$2,6,2)),VALUE(RIGHT($B$2,2)))
+ (VALUE(REGEXEXTRACT(INDIRECT(""A""&amp;ROW()+1),""\d+""))-1)*7
+ INT((COLUMN()-COLUMN($B607))/3)
"),46746)</f>
        <v>46746</v>
      </c>
      <c r="U607" s="81"/>
      <c r="V607" s="82"/>
      <c r="W607" s="143"/>
    </row>
    <row r="608" spans="1:23" ht="15.75" customHeight="1">
      <c r="A608" s="51" t="s">
        <v>180</v>
      </c>
      <c r="B608" s="112"/>
      <c r="C608" s="111"/>
      <c r="D608" s="17">
        <f>V606+C608</f>
        <v>-1458</v>
      </c>
      <c r="E608" s="109"/>
      <c r="F608" s="109"/>
      <c r="G608" s="54">
        <f>D618+F608</f>
        <v>-1458</v>
      </c>
      <c r="H608" s="110"/>
      <c r="I608" s="111"/>
      <c r="J608" s="17">
        <f>G618+I608</f>
        <v>-1458</v>
      </c>
      <c r="K608" s="109"/>
      <c r="L608" s="109"/>
      <c r="M608" s="35">
        <f>J618+L608</f>
        <v>-1458</v>
      </c>
      <c r="N608" s="112"/>
      <c r="O608" s="111"/>
      <c r="P608" s="17">
        <f>M618+O608</f>
        <v>-1458</v>
      </c>
      <c r="Q608" s="109"/>
      <c r="R608" s="109"/>
      <c r="S608" s="35">
        <f>P618+R608</f>
        <v>-1458</v>
      </c>
      <c r="T608" s="112"/>
      <c r="U608" s="111"/>
      <c r="V608" s="48">
        <f>S618+U608</f>
        <v>-1458</v>
      </c>
      <c r="W608" s="143"/>
    </row>
    <row r="609" spans="1:23" ht="15.75" customHeight="1">
      <c r="A609" s="114"/>
      <c r="B609" s="106"/>
      <c r="C609" s="107"/>
      <c r="D609" s="26">
        <f t="shared" ref="D609:D618" si="357">D608+C609</f>
        <v>-1458</v>
      </c>
      <c r="E609" s="117"/>
      <c r="F609" s="117"/>
      <c r="G609" s="19">
        <f t="shared" ref="G609:G618" si="358">G608+F609</f>
        <v>-1458</v>
      </c>
      <c r="H609" s="116"/>
      <c r="I609" s="107"/>
      <c r="J609" s="26">
        <f t="shared" ref="J609:J618" si="359">J608+I609</f>
        <v>-1458</v>
      </c>
      <c r="K609" s="117"/>
      <c r="L609" s="117"/>
      <c r="M609" s="38">
        <f t="shared" ref="M609:M618" si="360">M608+L609</f>
        <v>-1458</v>
      </c>
      <c r="N609" s="106"/>
      <c r="O609" s="107"/>
      <c r="P609" s="26">
        <f t="shared" ref="P609:P618" si="361">P608+O609</f>
        <v>-1458</v>
      </c>
      <c r="Q609" s="117"/>
      <c r="R609" s="117"/>
      <c r="S609" s="38">
        <f t="shared" ref="S609:S618" si="362">S608+R609</f>
        <v>-1458</v>
      </c>
      <c r="T609" s="106"/>
      <c r="U609" s="107"/>
      <c r="V609" s="20">
        <f t="shared" ref="V609:V618" si="363">V608+U609</f>
        <v>-1458</v>
      </c>
      <c r="W609" s="143"/>
    </row>
    <row r="610" spans="1:23" ht="15.75" customHeight="1">
      <c r="A610" s="114"/>
      <c r="B610" s="106"/>
      <c r="C610" s="107"/>
      <c r="D610" s="26">
        <f t="shared" si="357"/>
        <v>-1458</v>
      </c>
      <c r="E610" s="117"/>
      <c r="F610" s="117"/>
      <c r="G610" s="19">
        <f t="shared" si="358"/>
        <v>-1458</v>
      </c>
      <c r="H610" s="116"/>
      <c r="I610" s="107"/>
      <c r="J610" s="26">
        <f t="shared" si="359"/>
        <v>-1458</v>
      </c>
      <c r="K610" s="117"/>
      <c r="L610" s="117"/>
      <c r="M610" s="38">
        <f t="shared" si="360"/>
        <v>-1458</v>
      </c>
      <c r="N610" s="106"/>
      <c r="O610" s="107"/>
      <c r="P610" s="26">
        <f t="shared" si="361"/>
        <v>-1458</v>
      </c>
      <c r="Q610" s="117"/>
      <c r="R610" s="117"/>
      <c r="S610" s="38">
        <f t="shared" si="362"/>
        <v>-1458</v>
      </c>
      <c r="T610" s="106"/>
      <c r="U610" s="116"/>
      <c r="V610" s="20">
        <f t="shared" si="363"/>
        <v>-1458</v>
      </c>
      <c r="W610" s="143"/>
    </row>
    <row r="611" spans="1:23" ht="15.75" customHeight="1">
      <c r="A611" s="114"/>
      <c r="B611" s="106"/>
      <c r="C611" s="107"/>
      <c r="D611" s="26">
        <f t="shared" si="357"/>
        <v>-1458</v>
      </c>
      <c r="E611" s="117"/>
      <c r="F611" s="117"/>
      <c r="G611" s="19">
        <f t="shared" si="358"/>
        <v>-1458</v>
      </c>
      <c r="H611" s="116"/>
      <c r="I611" s="107"/>
      <c r="J611" s="26">
        <f t="shared" si="359"/>
        <v>-1458</v>
      </c>
      <c r="K611" s="117"/>
      <c r="L611" s="117"/>
      <c r="M611" s="38">
        <f t="shared" si="360"/>
        <v>-1458</v>
      </c>
      <c r="N611" s="106"/>
      <c r="O611" s="107"/>
      <c r="P611" s="26">
        <f t="shared" si="361"/>
        <v>-1458</v>
      </c>
      <c r="Q611" s="117"/>
      <c r="R611" s="117"/>
      <c r="S611" s="38">
        <f t="shared" si="362"/>
        <v>-1458</v>
      </c>
      <c r="T611" s="106"/>
      <c r="U611" s="116"/>
      <c r="V611" s="20">
        <f t="shared" si="363"/>
        <v>-1458</v>
      </c>
      <c r="W611" s="143"/>
    </row>
    <row r="612" spans="1:23" ht="15.75" customHeight="1">
      <c r="A612" s="114"/>
      <c r="B612" s="106"/>
      <c r="C612" s="107"/>
      <c r="D612" s="26">
        <f t="shared" si="357"/>
        <v>-1458</v>
      </c>
      <c r="E612" s="117"/>
      <c r="F612" s="117"/>
      <c r="G612" s="19">
        <f t="shared" si="358"/>
        <v>-1458</v>
      </c>
      <c r="H612" s="116"/>
      <c r="I612" s="107"/>
      <c r="J612" s="26">
        <f t="shared" si="359"/>
        <v>-1458</v>
      </c>
      <c r="K612" s="117"/>
      <c r="L612" s="117"/>
      <c r="M612" s="38">
        <f t="shared" si="360"/>
        <v>-1458</v>
      </c>
      <c r="N612" s="106"/>
      <c r="O612" s="107"/>
      <c r="P612" s="26">
        <f t="shared" si="361"/>
        <v>-1458</v>
      </c>
      <c r="Q612" s="117"/>
      <c r="R612" s="117"/>
      <c r="S612" s="38">
        <f t="shared" si="362"/>
        <v>-1458</v>
      </c>
      <c r="T612" s="106"/>
      <c r="U612" s="116"/>
      <c r="V612" s="20">
        <f t="shared" si="363"/>
        <v>-1458</v>
      </c>
      <c r="W612" s="143"/>
    </row>
    <row r="613" spans="1:23" ht="15.75" customHeight="1">
      <c r="A613" s="114"/>
      <c r="B613" s="106"/>
      <c r="C613" s="107"/>
      <c r="D613" s="26">
        <f t="shared" si="357"/>
        <v>-1458</v>
      </c>
      <c r="E613" s="117"/>
      <c r="F613" s="117"/>
      <c r="G613" s="19">
        <f t="shared" si="358"/>
        <v>-1458</v>
      </c>
      <c r="H613" s="116"/>
      <c r="I613" s="107"/>
      <c r="J613" s="26">
        <f t="shared" si="359"/>
        <v>-1458</v>
      </c>
      <c r="K613" s="117"/>
      <c r="L613" s="117"/>
      <c r="M613" s="38">
        <f t="shared" si="360"/>
        <v>-1458</v>
      </c>
      <c r="N613" s="106"/>
      <c r="O613" s="107"/>
      <c r="P613" s="26">
        <f t="shared" si="361"/>
        <v>-1458</v>
      </c>
      <c r="Q613" s="117"/>
      <c r="R613" s="117"/>
      <c r="S613" s="38">
        <f t="shared" si="362"/>
        <v>-1458</v>
      </c>
      <c r="T613" s="106"/>
      <c r="U613" s="116"/>
      <c r="V613" s="20">
        <f t="shared" si="363"/>
        <v>-1458</v>
      </c>
      <c r="W613" s="143"/>
    </row>
    <row r="614" spans="1:23" ht="15.75" customHeight="1">
      <c r="A614" s="114"/>
      <c r="B614" s="106"/>
      <c r="C614" s="107"/>
      <c r="D614" s="26">
        <f t="shared" si="357"/>
        <v>-1458</v>
      </c>
      <c r="E614" s="117"/>
      <c r="F614" s="117"/>
      <c r="G614" s="19">
        <f t="shared" si="358"/>
        <v>-1458</v>
      </c>
      <c r="H614" s="116"/>
      <c r="I614" s="107"/>
      <c r="J614" s="26">
        <f t="shared" si="359"/>
        <v>-1458</v>
      </c>
      <c r="K614" s="117"/>
      <c r="L614" s="117"/>
      <c r="M614" s="38">
        <f t="shared" si="360"/>
        <v>-1458</v>
      </c>
      <c r="N614" s="106"/>
      <c r="O614" s="107"/>
      <c r="P614" s="26">
        <f t="shared" si="361"/>
        <v>-1458</v>
      </c>
      <c r="Q614" s="117"/>
      <c r="R614" s="117"/>
      <c r="S614" s="38">
        <f t="shared" si="362"/>
        <v>-1458</v>
      </c>
      <c r="T614" s="106"/>
      <c r="U614" s="116"/>
      <c r="V614" s="20">
        <f t="shared" si="363"/>
        <v>-1458</v>
      </c>
      <c r="W614" s="143"/>
    </row>
    <row r="615" spans="1:23" ht="15.75" customHeight="1">
      <c r="A615" s="114"/>
      <c r="B615" s="106"/>
      <c r="C615" s="107"/>
      <c r="D615" s="26">
        <f t="shared" si="357"/>
        <v>-1458</v>
      </c>
      <c r="E615" s="117"/>
      <c r="F615" s="117"/>
      <c r="G615" s="19">
        <f t="shared" si="358"/>
        <v>-1458</v>
      </c>
      <c r="H615" s="116"/>
      <c r="I615" s="107"/>
      <c r="J615" s="26">
        <f t="shared" si="359"/>
        <v>-1458</v>
      </c>
      <c r="K615" s="117"/>
      <c r="L615" s="117"/>
      <c r="M615" s="38">
        <f t="shared" si="360"/>
        <v>-1458</v>
      </c>
      <c r="N615" s="106"/>
      <c r="O615" s="107"/>
      <c r="P615" s="26">
        <f t="shared" si="361"/>
        <v>-1458</v>
      </c>
      <c r="Q615" s="117"/>
      <c r="R615" s="117"/>
      <c r="S615" s="38">
        <f t="shared" si="362"/>
        <v>-1458</v>
      </c>
      <c r="T615" s="106"/>
      <c r="U615" s="116"/>
      <c r="V615" s="20">
        <f t="shared" si="363"/>
        <v>-1458</v>
      </c>
      <c r="W615" s="143"/>
    </row>
    <row r="616" spans="1:23" ht="15.75" customHeight="1">
      <c r="A616" s="114"/>
      <c r="B616" s="122"/>
      <c r="C616" s="123"/>
      <c r="D616" s="26">
        <f t="shared" si="357"/>
        <v>-1458</v>
      </c>
      <c r="E616" s="117"/>
      <c r="F616" s="117"/>
      <c r="G616" s="19">
        <f t="shared" si="358"/>
        <v>-1458</v>
      </c>
      <c r="H616" s="124"/>
      <c r="I616" s="123"/>
      <c r="J616" s="26">
        <f t="shared" si="359"/>
        <v>-1458</v>
      </c>
      <c r="K616" s="117"/>
      <c r="L616" s="117"/>
      <c r="M616" s="38">
        <f t="shared" si="360"/>
        <v>-1458</v>
      </c>
      <c r="N616" s="122"/>
      <c r="O616" s="123"/>
      <c r="P616" s="26">
        <f t="shared" si="361"/>
        <v>-1458</v>
      </c>
      <c r="Q616" s="117"/>
      <c r="R616" s="117"/>
      <c r="S616" s="38">
        <f t="shared" si="362"/>
        <v>-1458</v>
      </c>
      <c r="T616" s="106"/>
      <c r="U616" s="116"/>
      <c r="V616" s="20">
        <f t="shared" si="363"/>
        <v>-1458</v>
      </c>
      <c r="W616" s="143"/>
    </row>
    <row r="617" spans="1:23" ht="15.75" customHeight="1">
      <c r="A617" s="114"/>
      <c r="B617" s="122"/>
      <c r="C617" s="123"/>
      <c r="D617" s="26">
        <f t="shared" si="357"/>
        <v>-1458</v>
      </c>
      <c r="E617" s="117"/>
      <c r="F617" s="117"/>
      <c r="G617" s="19">
        <f t="shared" si="358"/>
        <v>-1458</v>
      </c>
      <c r="H617" s="124"/>
      <c r="I617" s="123"/>
      <c r="J617" s="26">
        <f t="shared" si="359"/>
        <v>-1458</v>
      </c>
      <c r="K617" s="117"/>
      <c r="L617" s="117"/>
      <c r="M617" s="38">
        <f t="shared" si="360"/>
        <v>-1458</v>
      </c>
      <c r="N617" s="122"/>
      <c r="O617" s="123"/>
      <c r="P617" s="26">
        <f t="shared" si="361"/>
        <v>-1458</v>
      </c>
      <c r="Q617" s="117"/>
      <c r="R617" s="117"/>
      <c r="S617" s="38">
        <f t="shared" si="362"/>
        <v>-1458</v>
      </c>
      <c r="T617" s="122"/>
      <c r="U617" s="124"/>
      <c r="V617" s="20">
        <f t="shared" si="363"/>
        <v>-1458</v>
      </c>
      <c r="W617" s="143"/>
    </row>
    <row r="618" spans="1:23" ht="15.75" customHeight="1">
      <c r="A618" s="114"/>
      <c r="B618" s="122"/>
      <c r="C618" s="123"/>
      <c r="D618" s="39">
        <f t="shared" si="357"/>
        <v>-1458</v>
      </c>
      <c r="E618" s="128"/>
      <c r="F618" s="128"/>
      <c r="G618" s="55">
        <f t="shared" si="358"/>
        <v>-1458</v>
      </c>
      <c r="H618" s="124"/>
      <c r="I618" s="123"/>
      <c r="J618" s="39">
        <f t="shared" si="359"/>
        <v>-1458</v>
      </c>
      <c r="K618" s="128"/>
      <c r="L618" s="128"/>
      <c r="M618" s="40">
        <f t="shared" si="360"/>
        <v>-1458</v>
      </c>
      <c r="N618" s="122"/>
      <c r="O618" s="123"/>
      <c r="P618" s="39">
        <f t="shared" si="361"/>
        <v>-1458</v>
      </c>
      <c r="Q618" s="128"/>
      <c r="R618" s="128"/>
      <c r="S618" s="40">
        <f t="shared" si="362"/>
        <v>-1458</v>
      </c>
      <c r="T618" s="122"/>
      <c r="U618" s="123"/>
      <c r="V618" s="49">
        <f t="shared" si="363"/>
        <v>-1458</v>
      </c>
      <c r="W618" s="143"/>
    </row>
    <row r="619" spans="1:23" ht="15.75" customHeight="1">
      <c r="A619" s="87"/>
      <c r="B619" s="77">
        <f ca="1">IFERROR(__xludf.DUMMYFUNCTION("DATE(VALUE(LEFT($B$2,4)),VALUE(MID($B$2,6,2)),VALUE(RIGHT($B$2,2)))
+ (VALUE(REGEXEXTRACT(INDIRECT(""A""&amp;ROW()+1),""\d+""))-1)*7
+ INT((COLUMN()-COLUMN($B619))/3)
"),46747)</f>
        <v>46747</v>
      </c>
      <c r="C619" s="81"/>
      <c r="D619" s="82"/>
      <c r="E619" s="77">
        <f ca="1">IFERROR(__xludf.DUMMYFUNCTION("DATE(VALUE(LEFT($B$2,4)),VALUE(MID($B$2,6,2)),VALUE(RIGHT($B$2,2)))
+ (VALUE(REGEXEXTRACT(INDIRECT(""A""&amp;ROW()+1),""\d+""))-1)*7
+ INT((COLUMN()-COLUMN($B619))/3)
"),46748)</f>
        <v>46748</v>
      </c>
      <c r="F619" s="81"/>
      <c r="G619" s="82"/>
      <c r="H619" s="77">
        <f ca="1">IFERROR(__xludf.DUMMYFUNCTION("DATE(VALUE(LEFT($B$2,4)),VALUE(MID($B$2,6,2)),VALUE(RIGHT($B$2,2)))
+ (VALUE(REGEXEXTRACT(INDIRECT(""A""&amp;ROW()+1),""\d+""))-1)*7
+ INT((COLUMN()-COLUMN($B619))/3)
"),46749)</f>
        <v>46749</v>
      </c>
      <c r="I619" s="81"/>
      <c r="J619" s="82"/>
      <c r="K619" s="77">
        <f ca="1">IFERROR(__xludf.DUMMYFUNCTION("DATE(VALUE(LEFT($B$2,4)),VALUE(MID($B$2,6,2)),VALUE(RIGHT($B$2,2)))
+ (VALUE(REGEXEXTRACT(INDIRECT(""A""&amp;ROW()+1),""\d+""))-1)*7
+ INT((COLUMN()-COLUMN($B619))/3)
"),46750)</f>
        <v>46750</v>
      </c>
      <c r="L619" s="81"/>
      <c r="M619" s="82"/>
      <c r="N619" s="77">
        <f ca="1">IFERROR(__xludf.DUMMYFUNCTION("DATE(VALUE(LEFT($B$2,4)),VALUE(MID($B$2,6,2)),VALUE(RIGHT($B$2,2)))
+ (VALUE(REGEXEXTRACT(INDIRECT(""A""&amp;ROW()+1),""\d+""))-1)*7
+ INT((COLUMN()-COLUMN($B619))/3)
"),46751)</f>
        <v>46751</v>
      </c>
      <c r="O619" s="81"/>
      <c r="P619" s="82"/>
      <c r="Q619" s="77">
        <f ca="1">IFERROR(__xludf.DUMMYFUNCTION("DATE(VALUE(LEFT($B$2,4)),VALUE(MID($B$2,6,2)),VALUE(RIGHT($B$2,2)))
+ (VALUE(REGEXEXTRACT(INDIRECT(""A""&amp;ROW()+1),""\d+""))-1)*7
+ INT((COLUMN()-COLUMN($B619))/3)
"),46752)</f>
        <v>46752</v>
      </c>
      <c r="R619" s="81"/>
      <c r="S619" s="82"/>
      <c r="T619" s="77">
        <f ca="1">IFERROR(__xludf.DUMMYFUNCTION("DATE(VALUE(LEFT($B$2,4)),VALUE(MID($B$2,6,2)),VALUE(RIGHT($B$2,2)))
+ (VALUE(REGEXEXTRACT(INDIRECT(""A""&amp;ROW()+1),""\d+""))-1)*7
+ INT((COLUMN()-COLUMN($B619))/3)
"),46753)</f>
        <v>46753</v>
      </c>
      <c r="U619" s="81"/>
      <c r="V619" s="82"/>
      <c r="W619" s="52" t="s">
        <v>20</v>
      </c>
    </row>
    <row r="620" spans="1:23" ht="15.75" customHeight="1">
      <c r="A620" s="47" t="s">
        <v>181</v>
      </c>
      <c r="B620" s="113"/>
      <c r="C620" s="109"/>
      <c r="D620" s="42">
        <f>V618+C620</f>
        <v>-1458</v>
      </c>
      <c r="E620" s="112"/>
      <c r="F620" s="111"/>
      <c r="G620" s="36">
        <f>D630+F620</f>
        <v>-1458</v>
      </c>
      <c r="H620" s="132"/>
      <c r="I620" s="109"/>
      <c r="J620" s="42">
        <f>G630+I620</f>
        <v>-1458</v>
      </c>
      <c r="K620" s="112"/>
      <c r="L620" s="111"/>
      <c r="M620" s="18">
        <f>J630+L620</f>
        <v>-1458</v>
      </c>
      <c r="N620" s="113"/>
      <c r="O620" s="109"/>
      <c r="P620" s="35">
        <f>M630+O620</f>
        <v>-1458</v>
      </c>
      <c r="Q620" s="112"/>
      <c r="R620" s="111"/>
      <c r="S620" s="36">
        <f>P630+R620</f>
        <v>-1458</v>
      </c>
      <c r="T620" s="176"/>
      <c r="U620" s="173"/>
      <c r="V620" s="50">
        <f>S630+U620</f>
        <v>-1458</v>
      </c>
      <c r="W620" s="172"/>
    </row>
    <row r="621" spans="1:23" ht="15.75" customHeight="1">
      <c r="A621" s="114"/>
      <c r="B621" s="118"/>
      <c r="C621" s="117"/>
      <c r="D621" s="19">
        <f t="shared" ref="D621:D630" si="364">D620+C621</f>
        <v>-1458</v>
      </c>
      <c r="E621" s="106"/>
      <c r="F621" s="107"/>
      <c r="G621" s="26">
        <f t="shared" ref="G621:G630" si="365">G620+F621</f>
        <v>-1458</v>
      </c>
      <c r="H621" s="133"/>
      <c r="I621" s="117"/>
      <c r="J621" s="19">
        <f t="shared" ref="J621:J630" si="366">J620+I621</f>
        <v>-1458</v>
      </c>
      <c r="K621" s="106"/>
      <c r="L621" s="107"/>
      <c r="M621" s="26">
        <f t="shared" ref="M621:M630" si="367">M620+L621</f>
        <v>-1458</v>
      </c>
      <c r="N621" s="118"/>
      <c r="O621" s="117"/>
      <c r="P621" s="38">
        <f t="shared" ref="P621:P630" si="368">P620+O621</f>
        <v>-1458</v>
      </c>
      <c r="Q621" s="106"/>
      <c r="R621" s="107"/>
      <c r="S621" s="26">
        <f t="shared" ref="S621:S630" si="369">S620+R621</f>
        <v>-1458</v>
      </c>
      <c r="T621" s="177"/>
      <c r="U621" s="136"/>
      <c r="V621" s="45">
        <f t="shared" ref="V621:V630" si="370">V620+U621</f>
        <v>-1458</v>
      </c>
      <c r="W621" s="143"/>
    </row>
    <row r="622" spans="1:23" ht="15.75" customHeight="1">
      <c r="A622" s="114"/>
      <c r="B622" s="118"/>
      <c r="C622" s="117"/>
      <c r="D622" s="19">
        <f t="shared" si="364"/>
        <v>-1458</v>
      </c>
      <c r="E622" s="106"/>
      <c r="F622" s="107"/>
      <c r="G622" s="26">
        <f t="shared" si="365"/>
        <v>-1458</v>
      </c>
      <c r="H622" s="133"/>
      <c r="I622" s="117"/>
      <c r="J622" s="19">
        <f t="shared" si="366"/>
        <v>-1458</v>
      </c>
      <c r="K622" s="106"/>
      <c r="L622" s="107"/>
      <c r="M622" s="26">
        <f t="shared" si="367"/>
        <v>-1458</v>
      </c>
      <c r="N622" s="117"/>
      <c r="O622" s="117"/>
      <c r="P622" s="38">
        <f t="shared" si="368"/>
        <v>-1458</v>
      </c>
      <c r="Q622" s="106"/>
      <c r="R622" s="107"/>
      <c r="S622" s="26">
        <f t="shared" si="369"/>
        <v>-1458</v>
      </c>
      <c r="T622" s="177"/>
      <c r="U622" s="136"/>
      <c r="V622" s="45">
        <f t="shared" si="370"/>
        <v>-1458</v>
      </c>
      <c r="W622" s="143"/>
    </row>
    <row r="623" spans="1:23" ht="15.75" customHeight="1">
      <c r="A623" s="114"/>
      <c r="B623" s="118"/>
      <c r="C623" s="117"/>
      <c r="D623" s="19">
        <f t="shared" si="364"/>
        <v>-1458</v>
      </c>
      <c r="E623" s="106"/>
      <c r="F623" s="107"/>
      <c r="G623" s="26">
        <f t="shared" si="365"/>
        <v>-1458</v>
      </c>
      <c r="H623" s="133"/>
      <c r="I623" s="117"/>
      <c r="J623" s="19">
        <f t="shared" si="366"/>
        <v>-1458</v>
      </c>
      <c r="K623" s="106"/>
      <c r="L623" s="107"/>
      <c r="M623" s="26">
        <f t="shared" si="367"/>
        <v>-1458</v>
      </c>
      <c r="N623" s="117"/>
      <c r="O623" s="117"/>
      <c r="P623" s="38">
        <f t="shared" si="368"/>
        <v>-1458</v>
      </c>
      <c r="Q623" s="106"/>
      <c r="R623" s="107"/>
      <c r="S623" s="26">
        <f t="shared" si="369"/>
        <v>-1458</v>
      </c>
      <c r="T623" s="177"/>
      <c r="U623" s="136"/>
      <c r="V623" s="45">
        <f t="shared" si="370"/>
        <v>-1458</v>
      </c>
      <c r="W623" s="143"/>
    </row>
    <row r="624" spans="1:23" ht="15.75" customHeight="1">
      <c r="A624" s="114"/>
      <c r="B624" s="118"/>
      <c r="C624" s="117"/>
      <c r="D624" s="19">
        <f t="shared" si="364"/>
        <v>-1458</v>
      </c>
      <c r="E624" s="106"/>
      <c r="F624" s="107"/>
      <c r="G624" s="26">
        <f t="shared" si="365"/>
        <v>-1458</v>
      </c>
      <c r="H624" s="133"/>
      <c r="I624" s="117"/>
      <c r="J624" s="19">
        <f t="shared" si="366"/>
        <v>-1458</v>
      </c>
      <c r="K624" s="106"/>
      <c r="L624" s="107"/>
      <c r="M624" s="26">
        <f t="shared" si="367"/>
        <v>-1458</v>
      </c>
      <c r="N624" s="117"/>
      <c r="O624" s="117"/>
      <c r="P624" s="38">
        <f t="shared" si="368"/>
        <v>-1458</v>
      </c>
      <c r="Q624" s="106"/>
      <c r="R624" s="107"/>
      <c r="S624" s="26">
        <f t="shared" si="369"/>
        <v>-1458</v>
      </c>
      <c r="T624" s="177"/>
      <c r="U624" s="136"/>
      <c r="V624" s="45">
        <f t="shared" si="370"/>
        <v>-1458</v>
      </c>
      <c r="W624" s="143"/>
    </row>
    <row r="625" spans="1:23" ht="15.75" customHeight="1">
      <c r="A625" s="114"/>
      <c r="B625" s="118"/>
      <c r="C625" s="117"/>
      <c r="D625" s="19">
        <f t="shared" si="364"/>
        <v>-1458</v>
      </c>
      <c r="E625" s="106"/>
      <c r="F625" s="107"/>
      <c r="G625" s="26">
        <f t="shared" si="365"/>
        <v>-1458</v>
      </c>
      <c r="H625" s="133"/>
      <c r="I625" s="117"/>
      <c r="J625" s="19">
        <f t="shared" si="366"/>
        <v>-1458</v>
      </c>
      <c r="K625" s="106"/>
      <c r="L625" s="107"/>
      <c r="M625" s="26">
        <f t="shared" si="367"/>
        <v>-1458</v>
      </c>
      <c r="N625" s="117"/>
      <c r="O625" s="117"/>
      <c r="P625" s="38">
        <f t="shared" si="368"/>
        <v>-1458</v>
      </c>
      <c r="Q625" s="106"/>
      <c r="R625" s="107"/>
      <c r="S625" s="26">
        <f t="shared" si="369"/>
        <v>-1458</v>
      </c>
      <c r="T625" s="177"/>
      <c r="U625" s="136"/>
      <c r="V625" s="45">
        <f t="shared" si="370"/>
        <v>-1458</v>
      </c>
      <c r="W625" s="143"/>
    </row>
    <row r="626" spans="1:23" ht="15.75" customHeight="1">
      <c r="A626" s="114"/>
      <c r="B626" s="117"/>
      <c r="C626" s="117"/>
      <c r="D626" s="19">
        <f t="shared" si="364"/>
        <v>-1458</v>
      </c>
      <c r="E626" s="106"/>
      <c r="F626" s="107"/>
      <c r="G626" s="26">
        <f t="shared" si="365"/>
        <v>-1458</v>
      </c>
      <c r="H626" s="133"/>
      <c r="I626" s="117"/>
      <c r="J626" s="19">
        <f t="shared" si="366"/>
        <v>-1458</v>
      </c>
      <c r="K626" s="106"/>
      <c r="L626" s="107"/>
      <c r="M626" s="26">
        <f t="shared" si="367"/>
        <v>-1458</v>
      </c>
      <c r="N626" s="117"/>
      <c r="O626" s="117"/>
      <c r="P626" s="38">
        <f t="shared" si="368"/>
        <v>-1458</v>
      </c>
      <c r="Q626" s="106"/>
      <c r="R626" s="107"/>
      <c r="S626" s="26">
        <f t="shared" si="369"/>
        <v>-1458</v>
      </c>
      <c r="T626" s="177"/>
      <c r="U626" s="136"/>
      <c r="V626" s="45">
        <f t="shared" si="370"/>
        <v>-1458</v>
      </c>
      <c r="W626" s="143"/>
    </row>
    <row r="627" spans="1:23" ht="15.75" customHeight="1">
      <c r="A627" s="114"/>
      <c r="B627" s="117"/>
      <c r="C627" s="117"/>
      <c r="D627" s="19">
        <f t="shared" si="364"/>
        <v>-1458</v>
      </c>
      <c r="E627" s="106"/>
      <c r="F627" s="107"/>
      <c r="G627" s="26">
        <f t="shared" si="365"/>
        <v>-1458</v>
      </c>
      <c r="H627" s="133"/>
      <c r="I627" s="117"/>
      <c r="J627" s="19">
        <f t="shared" si="366"/>
        <v>-1458</v>
      </c>
      <c r="K627" s="106"/>
      <c r="L627" s="107"/>
      <c r="M627" s="26">
        <f t="shared" si="367"/>
        <v>-1458</v>
      </c>
      <c r="N627" s="117"/>
      <c r="O627" s="117"/>
      <c r="P627" s="38">
        <f t="shared" si="368"/>
        <v>-1458</v>
      </c>
      <c r="Q627" s="106"/>
      <c r="R627" s="107"/>
      <c r="S627" s="26">
        <f t="shared" si="369"/>
        <v>-1458</v>
      </c>
      <c r="T627" s="177"/>
      <c r="U627" s="136"/>
      <c r="V627" s="45">
        <f t="shared" si="370"/>
        <v>-1458</v>
      </c>
      <c r="W627" s="143"/>
    </row>
    <row r="628" spans="1:23" ht="15.75" customHeight="1">
      <c r="A628" s="114"/>
      <c r="B628" s="117"/>
      <c r="C628" s="117"/>
      <c r="D628" s="19">
        <f t="shared" si="364"/>
        <v>-1458</v>
      </c>
      <c r="E628" s="106"/>
      <c r="F628" s="107"/>
      <c r="G628" s="26">
        <f t="shared" si="365"/>
        <v>-1458</v>
      </c>
      <c r="H628" s="133"/>
      <c r="I628" s="117"/>
      <c r="J628" s="19">
        <f t="shared" si="366"/>
        <v>-1458</v>
      </c>
      <c r="K628" s="106"/>
      <c r="L628" s="107"/>
      <c r="M628" s="26">
        <f t="shared" si="367"/>
        <v>-1458</v>
      </c>
      <c r="N628" s="117"/>
      <c r="O628" s="117"/>
      <c r="P628" s="38">
        <f t="shared" si="368"/>
        <v>-1458</v>
      </c>
      <c r="Q628" s="106"/>
      <c r="R628" s="107"/>
      <c r="S628" s="26">
        <f t="shared" si="369"/>
        <v>-1458</v>
      </c>
      <c r="T628" s="177"/>
      <c r="U628" s="136"/>
      <c r="V628" s="45">
        <f t="shared" si="370"/>
        <v>-1458</v>
      </c>
      <c r="W628" s="143"/>
    </row>
    <row r="629" spans="1:23" ht="15.75" customHeight="1">
      <c r="A629" s="114"/>
      <c r="B629" s="117"/>
      <c r="C629" s="117"/>
      <c r="D629" s="19">
        <f t="shared" si="364"/>
        <v>-1458</v>
      </c>
      <c r="E629" s="122"/>
      <c r="F629" s="123"/>
      <c r="G629" s="26">
        <f t="shared" si="365"/>
        <v>-1458</v>
      </c>
      <c r="H629" s="133"/>
      <c r="I629" s="117"/>
      <c r="J629" s="19">
        <f t="shared" si="366"/>
        <v>-1458</v>
      </c>
      <c r="K629" s="122"/>
      <c r="L629" s="123"/>
      <c r="M629" s="26">
        <f t="shared" si="367"/>
        <v>-1458</v>
      </c>
      <c r="N629" s="117"/>
      <c r="O629" s="117"/>
      <c r="P629" s="38">
        <f t="shared" si="368"/>
        <v>-1458</v>
      </c>
      <c r="Q629" s="122"/>
      <c r="R629" s="123"/>
      <c r="S629" s="26">
        <f t="shared" si="369"/>
        <v>-1458</v>
      </c>
      <c r="T629" s="177"/>
      <c r="U629" s="136"/>
      <c r="V629" s="45">
        <f t="shared" si="370"/>
        <v>-1458</v>
      </c>
      <c r="W629" s="143"/>
    </row>
    <row r="630" spans="1:23" ht="15.75" customHeight="1">
      <c r="A630" s="114"/>
      <c r="B630" s="128"/>
      <c r="C630" s="128"/>
      <c r="D630" s="29">
        <f t="shared" si="364"/>
        <v>-1458</v>
      </c>
      <c r="E630" s="122"/>
      <c r="F630" s="123"/>
      <c r="G630" s="53">
        <f t="shared" si="365"/>
        <v>-1458</v>
      </c>
      <c r="H630" s="140"/>
      <c r="I630" s="128"/>
      <c r="J630" s="29">
        <f t="shared" si="366"/>
        <v>-1458</v>
      </c>
      <c r="K630" s="122"/>
      <c r="L630" s="123"/>
      <c r="M630" s="39">
        <f t="shared" si="367"/>
        <v>-1458</v>
      </c>
      <c r="N630" s="128"/>
      <c r="O630" s="128"/>
      <c r="P630" s="40">
        <f t="shared" si="368"/>
        <v>-1458</v>
      </c>
      <c r="Q630" s="122"/>
      <c r="R630" s="123"/>
      <c r="S630" s="53">
        <f t="shared" si="369"/>
        <v>-1458</v>
      </c>
      <c r="T630" s="178"/>
      <c r="U630" s="141"/>
      <c r="V630" s="46">
        <f t="shared" si="370"/>
        <v>-1458</v>
      </c>
      <c r="W630" s="143"/>
    </row>
    <row r="631" spans="1:23" ht="15.75" customHeight="1">
      <c r="A631" s="87"/>
      <c r="B631" s="77">
        <f ca="1">IFERROR(__xludf.DUMMYFUNCTION("DATE(VALUE(LEFT($B$2,4)),VALUE(MID($B$2,6,2)),VALUE(RIGHT($B$2,2)))
+ (VALUE(REGEXEXTRACT(INDIRECT(""A""&amp;ROW()+1),""\d+""))-1)*7
+ INT((COLUMN()-COLUMN($B631))/3)
"),46754)</f>
        <v>46754</v>
      </c>
      <c r="C631" s="81"/>
      <c r="D631" s="82"/>
      <c r="E631" s="77">
        <f ca="1">IFERROR(__xludf.DUMMYFUNCTION("DATE(VALUE(LEFT($B$2,4)),VALUE(MID($B$2,6,2)),VALUE(RIGHT($B$2,2)))
+ (VALUE(REGEXEXTRACT(INDIRECT(""A""&amp;ROW()+1),""\d+""))-1)*7
+ INT((COLUMN()-COLUMN($B631))/3)
"),46755)</f>
        <v>46755</v>
      </c>
      <c r="F631" s="81"/>
      <c r="G631" s="82"/>
      <c r="H631" s="77">
        <f ca="1">IFERROR(__xludf.DUMMYFUNCTION("DATE(VALUE(LEFT($B$2,4)),VALUE(MID($B$2,6,2)),VALUE(RIGHT($B$2,2)))
+ (VALUE(REGEXEXTRACT(INDIRECT(""A""&amp;ROW()+1),""\d+""))-1)*7
+ INT((COLUMN()-COLUMN($B631))/3)
"),46756)</f>
        <v>46756</v>
      </c>
      <c r="I631" s="81"/>
      <c r="J631" s="82"/>
      <c r="K631" s="77">
        <f ca="1">IFERROR(__xludf.DUMMYFUNCTION("DATE(VALUE(LEFT($B$2,4)),VALUE(MID($B$2,6,2)),VALUE(RIGHT($B$2,2)))
+ (VALUE(REGEXEXTRACT(INDIRECT(""A""&amp;ROW()+1),""\d+""))-1)*7
+ INT((COLUMN()-COLUMN($B631))/3)
"),46757)</f>
        <v>46757</v>
      </c>
      <c r="L631" s="81"/>
      <c r="M631" s="82"/>
      <c r="N631" s="77">
        <f ca="1">IFERROR(__xludf.DUMMYFUNCTION("DATE(VALUE(LEFT($B$2,4)),VALUE(MID($B$2,6,2)),VALUE(RIGHT($B$2,2)))
+ (VALUE(REGEXEXTRACT(INDIRECT(""A""&amp;ROW()+1),""\d+""))-1)*7
+ INT((COLUMN()-COLUMN($B631))/3)
"),46758)</f>
        <v>46758</v>
      </c>
      <c r="O631" s="81"/>
      <c r="P631" s="82"/>
      <c r="Q631" s="77">
        <f ca="1">IFERROR(__xludf.DUMMYFUNCTION("DATE(VALUE(LEFT($B$2,4)),VALUE(MID($B$2,6,2)),VALUE(RIGHT($B$2,2)))
+ (VALUE(REGEXEXTRACT(INDIRECT(""A""&amp;ROW()+1),""\d+""))-1)*7
+ INT((COLUMN()-COLUMN($B631))/3)
"),46759)</f>
        <v>46759</v>
      </c>
      <c r="R631" s="81"/>
      <c r="S631" s="82"/>
      <c r="T631" s="77">
        <f ca="1">IFERROR(__xludf.DUMMYFUNCTION("DATE(VALUE(LEFT($B$2,4)),VALUE(MID($B$2,6,2)),VALUE(RIGHT($B$2,2)))
+ (VALUE(REGEXEXTRACT(INDIRECT(""A""&amp;ROW()+1),""\d+""))-1)*7
+ INT((COLUMN()-COLUMN($B631))/3)
"),46760)</f>
        <v>46760</v>
      </c>
      <c r="U631" s="81"/>
      <c r="V631" s="82"/>
      <c r="W631" s="143"/>
    </row>
    <row r="632" spans="1:23" ht="15.75" customHeight="1">
      <c r="A632" s="51" t="s">
        <v>182</v>
      </c>
      <c r="B632" s="112"/>
      <c r="C632" s="111"/>
      <c r="D632" s="17">
        <f>V630+C632</f>
        <v>-1458</v>
      </c>
      <c r="E632" s="109"/>
      <c r="F632" s="109"/>
      <c r="G632" s="42">
        <f>D642+F632</f>
        <v>-1458</v>
      </c>
      <c r="H632" s="112"/>
      <c r="I632" s="111"/>
      <c r="J632" s="17">
        <f>G642+I632</f>
        <v>-1458</v>
      </c>
      <c r="K632" s="109"/>
      <c r="L632" s="109"/>
      <c r="M632" s="35">
        <f>J642+L632</f>
        <v>-1458</v>
      </c>
      <c r="N632" s="112"/>
      <c r="O632" s="111"/>
      <c r="P632" s="17">
        <f>M642+O632</f>
        <v>-1458</v>
      </c>
      <c r="Q632" s="109"/>
      <c r="R632" s="109"/>
      <c r="S632" s="54">
        <f>P642+R632</f>
        <v>-1458</v>
      </c>
      <c r="T632" s="110"/>
      <c r="U632" s="111"/>
      <c r="V632" s="48">
        <f>S642+U632</f>
        <v>-1458</v>
      </c>
      <c r="W632" s="143"/>
    </row>
    <row r="633" spans="1:23" ht="15.75" customHeight="1">
      <c r="A633" s="114"/>
      <c r="B633" s="106"/>
      <c r="C633" s="107"/>
      <c r="D633" s="26">
        <f t="shared" ref="D633:D642" si="371">D632+C633</f>
        <v>-1458</v>
      </c>
      <c r="E633" s="117"/>
      <c r="F633" s="117"/>
      <c r="G633" s="19">
        <f t="shared" ref="G633:G642" si="372">G632+F633</f>
        <v>-1458</v>
      </c>
      <c r="H633" s="106"/>
      <c r="I633" s="107"/>
      <c r="J633" s="26">
        <f t="shared" ref="J633:J642" si="373">J632+I633</f>
        <v>-1458</v>
      </c>
      <c r="K633" s="117"/>
      <c r="L633" s="117"/>
      <c r="M633" s="38">
        <f t="shared" ref="M633:M642" si="374">M632+L633</f>
        <v>-1458</v>
      </c>
      <c r="N633" s="106"/>
      <c r="O633" s="107"/>
      <c r="P633" s="26">
        <f t="shared" ref="P633:P642" si="375">P632+O633</f>
        <v>-1458</v>
      </c>
      <c r="Q633" s="117"/>
      <c r="R633" s="117"/>
      <c r="S633" s="19">
        <f t="shared" ref="S633:S642" si="376">S632+R633</f>
        <v>-1458</v>
      </c>
      <c r="T633" s="116"/>
      <c r="U633" s="107"/>
      <c r="V633" s="20">
        <f t="shared" ref="V633:V642" si="377">V632+U633</f>
        <v>-1458</v>
      </c>
      <c r="W633" s="143"/>
    </row>
    <row r="634" spans="1:23" ht="15.75" customHeight="1">
      <c r="A634" s="114"/>
      <c r="B634" s="106"/>
      <c r="C634" s="107"/>
      <c r="D634" s="26">
        <f t="shared" si="371"/>
        <v>-1458</v>
      </c>
      <c r="E634" s="117"/>
      <c r="F634" s="117"/>
      <c r="G634" s="19">
        <f t="shared" si="372"/>
        <v>-1458</v>
      </c>
      <c r="H634" s="106"/>
      <c r="I634" s="107"/>
      <c r="J634" s="26">
        <f t="shared" si="373"/>
        <v>-1458</v>
      </c>
      <c r="K634" s="117"/>
      <c r="L634" s="117"/>
      <c r="M634" s="38">
        <f t="shared" si="374"/>
        <v>-1458</v>
      </c>
      <c r="N634" s="106"/>
      <c r="O634" s="107"/>
      <c r="P634" s="26">
        <f t="shared" si="375"/>
        <v>-1458</v>
      </c>
      <c r="Q634" s="117"/>
      <c r="R634" s="117"/>
      <c r="S634" s="19">
        <f t="shared" si="376"/>
        <v>-1458</v>
      </c>
      <c r="T634" s="116"/>
      <c r="U634" s="116"/>
      <c r="V634" s="20">
        <f t="shared" si="377"/>
        <v>-1458</v>
      </c>
      <c r="W634" s="143"/>
    </row>
    <row r="635" spans="1:23" ht="15.75" customHeight="1">
      <c r="A635" s="114"/>
      <c r="B635" s="106"/>
      <c r="C635" s="107"/>
      <c r="D635" s="26">
        <f t="shared" si="371"/>
        <v>-1458</v>
      </c>
      <c r="E635" s="117"/>
      <c r="F635" s="117"/>
      <c r="G635" s="19">
        <f t="shared" si="372"/>
        <v>-1458</v>
      </c>
      <c r="H635" s="106"/>
      <c r="I635" s="107"/>
      <c r="J635" s="26">
        <f t="shared" si="373"/>
        <v>-1458</v>
      </c>
      <c r="K635" s="117"/>
      <c r="L635" s="117"/>
      <c r="M635" s="38">
        <f t="shared" si="374"/>
        <v>-1458</v>
      </c>
      <c r="N635" s="106"/>
      <c r="O635" s="107"/>
      <c r="P635" s="26">
        <f t="shared" si="375"/>
        <v>-1458</v>
      </c>
      <c r="Q635" s="117"/>
      <c r="R635" s="117"/>
      <c r="S635" s="19">
        <f t="shared" si="376"/>
        <v>-1458</v>
      </c>
      <c r="T635" s="116"/>
      <c r="U635" s="116"/>
      <c r="V635" s="20">
        <f t="shared" si="377"/>
        <v>-1458</v>
      </c>
      <c r="W635" s="143"/>
    </row>
    <row r="636" spans="1:23" ht="15.75" customHeight="1">
      <c r="A636" s="114"/>
      <c r="B636" s="106"/>
      <c r="C636" s="107"/>
      <c r="D636" s="26">
        <f t="shared" si="371"/>
        <v>-1458</v>
      </c>
      <c r="E636" s="117"/>
      <c r="F636" s="117"/>
      <c r="G636" s="19">
        <f t="shared" si="372"/>
        <v>-1458</v>
      </c>
      <c r="H636" s="106"/>
      <c r="I636" s="107"/>
      <c r="J636" s="26">
        <f t="shared" si="373"/>
        <v>-1458</v>
      </c>
      <c r="K636" s="117"/>
      <c r="L636" s="117"/>
      <c r="M636" s="38">
        <f t="shared" si="374"/>
        <v>-1458</v>
      </c>
      <c r="N636" s="106"/>
      <c r="O636" s="107"/>
      <c r="P636" s="26">
        <f t="shared" si="375"/>
        <v>-1458</v>
      </c>
      <c r="Q636" s="117"/>
      <c r="R636" s="117"/>
      <c r="S636" s="19">
        <f t="shared" si="376"/>
        <v>-1458</v>
      </c>
      <c r="T636" s="116"/>
      <c r="U636" s="116"/>
      <c r="V636" s="20">
        <f t="shared" si="377"/>
        <v>-1458</v>
      </c>
      <c r="W636" s="143"/>
    </row>
    <row r="637" spans="1:23" ht="15.75" customHeight="1">
      <c r="A637" s="114"/>
      <c r="B637" s="106"/>
      <c r="C637" s="107"/>
      <c r="D637" s="26">
        <f t="shared" si="371"/>
        <v>-1458</v>
      </c>
      <c r="E637" s="117"/>
      <c r="F637" s="117"/>
      <c r="G637" s="19">
        <f t="shared" si="372"/>
        <v>-1458</v>
      </c>
      <c r="H637" s="106"/>
      <c r="I637" s="107"/>
      <c r="J637" s="26">
        <f t="shared" si="373"/>
        <v>-1458</v>
      </c>
      <c r="K637" s="117"/>
      <c r="L637" s="117"/>
      <c r="M637" s="38">
        <f t="shared" si="374"/>
        <v>-1458</v>
      </c>
      <c r="N637" s="106"/>
      <c r="O637" s="107"/>
      <c r="P637" s="26">
        <f t="shared" si="375"/>
        <v>-1458</v>
      </c>
      <c r="Q637" s="117"/>
      <c r="R637" s="117"/>
      <c r="S637" s="19">
        <f t="shared" si="376"/>
        <v>-1458</v>
      </c>
      <c r="T637" s="116"/>
      <c r="U637" s="116"/>
      <c r="V637" s="20">
        <f t="shared" si="377"/>
        <v>-1458</v>
      </c>
      <c r="W637" s="143"/>
    </row>
    <row r="638" spans="1:23" ht="15.75" customHeight="1">
      <c r="A638" s="114"/>
      <c r="B638" s="106"/>
      <c r="C638" s="107"/>
      <c r="D638" s="26">
        <f t="shared" si="371"/>
        <v>-1458</v>
      </c>
      <c r="E638" s="117"/>
      <c r="F638" s="117"/>
      <c r="G638" s="19">
        <f t="shared" si="372"/>
        <v>-1458</v>
      </c>
      <c r="H638" s="106"/>
      <c r="I638" s="107"/>
      <c r="J638" s="26">
        <f t="shared" si="373"/>
        <v>-1458</v>
      </c>
      <c r="K638" s="117"/>
      <c r="L638" s="117"/>
      <c r="M638" s="38">
        <f t="shared" si="374"/>
        <v>-1458</v>
      </c>
      <c r="N638" s="106"/>
      <c r="O638" s="107"/>
      <c r="P638" s="26">
        <f t="shared" si="375"/>
        <v>-1458</v>
      </c>
      <c r="Q638" s="117"/>
      <c r="R638" s="117"/>
      <c r="S638" s="19">
        <f t="shared" si="376"/>
        <v>-1458</v>
      </c>
      <c r="T638" s="116"/>
      <c r="U638" s="116"/>
      <c r="V638" s="20">
        <f t="shared" si="377"/>
        <v>-1458</v>
      </c>
      <c r="W638" s="143"/>
    </row>
    <row r="639" spans="1:23" ht="15.75" customHeight="1">
      <c r="A639" s="114"/>
      <c r="B639" s="106"/>
      <c r="C639" s="107"/>
      <c r="D639" s="26">
        <f t="shared" si="371"/>
        <v>-1458</v>
      </c>
      <c r="E639" s="117"/>
      <c r="F639" s="117"/>
      <c r="G639" s="19">
        <f t="shared" si="372"/>
        <v>-1458</v>
      </c>
      <c r="H639" s="106"/>
      <c r="I639" s="107"/>
      <c r="J639" s="26">
        <f t="shared" si="373"/>
        <v>-1458</v>
      </c>
      <c r="K639" s="117"/>
      <c r="L639" s="117"/>
      <c r="M639" s="38">
        <f t="shared" si="374"/>
        <v>-1458</v>
      </c>
      <c r="N639" s="106"/>
      <c r="O639" s="107"/>
      <c r="P639" s="26">
        <f t="shared" si="375"/>
        <v>-1458</v>
      </c>
      <c r="Q639" s="117"/>
      <c r="R639" s="117"/>
      <c r="S639" s="19">
        <f t="shared" si="376"/>
        <v>-1458</v>
      </c>
      <c r="T639" s="116"/>
      <c r="U639" s="116"/>
      <c r="V639" s="20">
        <f t="shared" si="377"/>
        <v>-1458</v>
      </c>
      <c r="W639" s="143"/>
    </row>
    <row r="640" spans="1:23" ht="15.75" customHeight="1">
      <c r="A640" s="114"/>
      <c r="B640" s="122"/>
      <c r="C640" s="123"/>
      <c r="D640" s="26">
        <f t="shared" si="371"/>
        <v>-1458</v>
      </c>
      <c r="E640" s="117"/>
      <c r="F640" s="117"/>
      <c r="G640" s="19">
        <f t="shared" si="372"/>
        <v>-1458</v>
      </c>
      <c r="H640" s="122"/>
      <c r="I640" s="123"/>
      <c r="J640" s="26">
        <f t="shared" si="373"/>
        <v>-1458</v>
      </c>
      <c r="K640" s="117"/>
      <c r="L640" s="117"/>
      <c r="M640" s="38">
        <f t="shared" si="374"/>
        <v>-1458</v>
      </c>
      <c r="N640" s="122"/>
      <c r="O640" s="123"/>
      <c r="P640" s="26">
        <f t="shared" si="375"/>
        <v>-1458</v>
      </c>
      <c r="Q640" s="117"/>
      <c r="R640" s="117"/>
      <c r="S640" s="19">
        <f t="shared" si="376"/>
        <v>-1458</v>
      </c>
      <c r="T640" s="116"/>
      <c r="U640" s="116"/>
      <c r="V640" s="20">
        <f t="shared" si="377"/>
        <v>-1458</v>
      </c>
      <c r="W640" s="143"/>
    </row>
    <row r="641" spans="1:23" ht="15.75" customHeight="1">
      <c r="A641" s="114"/>
      <c r="B641" s="122"/>
      <c r="C641" s="123"/>
      <c r="D641" s="26">
        <f t="shared" si="371"/>
        <v>-1458</v>
      </c>
      <c r="E641" s="117"/>
      <c r="F641" s="117"/>
      <c r="G641" s="19">
        <f t="shared" si="372"/>
        <v>-1458</v>
      </c>
      <c r="H641" s="122"/>
      <c r="I641" s="123"/>
      <c r="J641" s="26">
        <f t="shared" si="373"/>
        <v>-1458</v>
      </c>
      <c r="K641" s="117"/>
      <c r="L641" s="117"/>
      <c r="M641" s="38">
        <f t="shared" si="374"/>
        <v>-1458</v>
      </c>
      <c r="N641" s="122"/>
      <c r="O641" s="123"/>
      <c r="P641" s="26">
        <f t="shared" si="375"/>
        <v>-1458</v>
      </c>
      <c r="Q641" s="117"/>
      <c r="R641" s="117"/>
      <c r="S641" s="19">
        <f t="shared" si="376"/>
        <v>-1458</v>
      </c>
      <c r="T641" s="124"/>
      <c r="U641" s="124"/>
      <c r="V641" s="20">
        <f t="shared" si="377"/>
        <v>-1458</v>
      </c>
      <c r="W641" s="143"/>
    </row>
    <row r="642" spans="1:23" ht="15.75" customHeight="1">
      <c r="A642" s="114"/>
      <c r="B642" s="126"/>
      <c r="C642" s="127"/>
      <c r="D642" s="59">
        <f t="shared" si="371"/>
        <v>-1458</v>
      </c>
      <c r="E642" s="157"/>
      <c r="F642" s="157"/>
      <c r="G642" s="60">
        <f t="shared" si="372"/>
        <v>-1458</v>
      </c>
      <c r="H642" s="126"/>
      <c r="I642" s="127"/>
      <c r="J642" s="59">
        <f t="shared" si="373"/>
        <v>-1458</v>
      </c>
      <c r="K642" s="157"/>
      <c r="L642" s="157"/>
      <c r="M642" s="61">
        <f t="shared" si="374"/>
        <v>-1458</v>
      </c>
      <c r="N642" s="126"/>
      <c r="O642" s="127"/>
      <c r="P642" s="59">
        <f t="shared" si="375"/>
        <v>-1458</v>
      </c>
      <c r="Q642" s="157"/>
      <c r="R642" s="157"/>
      <c r="S642" s="55">
        <f t="shared" si="376"/>
        <v>-1458</v>
      </c>
      <c r="T642" s="181"/>
      <c r="U642" s="127"/>
      <c r="V642" s="62">
        <f t="shared" si="377"/>
        <v>-1458</v>
      </c>
      <c r="W642" s="143"/>
    </row>
    <row r="643" spans="1:23" ht="15.75" customHeight="1">
      <c r="A643" s="5"/>
      <c r="B643" s="74"/>
      <c r="C643" s="65"/>
      <c r="D643" s="66"/>
      <c r="E643" s="74"/>
      <c r="F643" s="65"/>
      <c r="G643" s="66"/>
      <c r="H643" s="74"/>
      <c r="I643" s="65"/>
      <c r="J643" s="66"/>
      <c r="K643" s="74"/>
      <c r="L643" s="65"/>
      <c r="M643" s="66"/>
      <c r="N643" s="74"/>
      <c r="O643" s="65"/>
      <c r="P643" s="66"/>
      <c r="Q643" s="74"/>
      <c r="R643" s="65"/>
      <c r="S643" s="66"/>
      <c r="T643" s="75"/>
      <c r="U643" s="65"/>
      <c r="V643" s="76"/>
      <c r="W643" s="6"/>
    </row>
    <row r="644" spans="1:23" ht="15.75" customHeight="1">
      <c r="A644" s="2"/>
    </row>
    <row r="645" spans="1:23" ht="15.75" customHeight="1">
      <c r="A645" s="2"/>
    </row>
    <row r="646" spans="1:23" ht="15.75" customHeight="1">
      <c r="A646" s="2"/>
    </row>
    <row r="647" spans="1:23" ht="15.75" customHeight="1">
      <c r="A647" s="2"/>
    </row>
    <row r="648" spans="1:23" ht="15.75" customHeight="1">
      <c r="A648" s="2"/>
    </row>
    <row r="649" spans="1:23" ht="15.75" customHeight="1">
      <c r="A649" s="2"/>
    </row>
    <row r="650" spans="1:23" ht="15.75" customHeight="1">
      <c r="A650" s="2"/>
    </row>
    <row r="651" spans="1:23" ht="15.75" customHeight="1">
      <c r="A651" s="2"/>
      <c r="I651" s="3" t="s">
        <v>120</v>
      </c>
    </row>
    <row r="652" spans="1:23" ht="15.75" customHeight="1">
      <c r="A652" s="2"/>
    </row>
    <row r="653" spans="1:23" ht="15.75" customHeight="1">
      <c r="A653" s="2"/>
    </row>
    <row r="654" spans="1:23" ht="15.75" customHeight="1">
      <c r="A654" s="2"/>
    </row>
    <row r="655" spans="1:23" ht="15.75" customHeight="1">
      <c r="A655" s="2"/>
    </row>
    <row r="656" spans="1:23"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386">
    <mergeCell ref="E547:G547"/>
    <mergeCell ref="H547:J547"/>
    <mergeCell ref="K547:M547"/>
    <mergeCell ref="N547:P547"/>
    <mergeCell ref="Q547:S547"/>
    <mergeCell ref="T547:V547"/>
    <mergeCell ref="B547:D547"/>
    <mergeCell ref="E559:G559"/>
    <mergeCell ref="H559:J559"/>
    <mergeCell ref="K559:M559"/>
    <mergeCell ref="N559:P559"/>
    <mergeCell ref="Q559:S559"/>
    <mergeCell ref="T559:V559"/>
    <mergeCell ref="E523:G523"/>
    <mergeCell ref="H523:J523"/>
    <mergeCell ref="K523:M523"/>
    <mergeCell ref="N523:P523"/>
    <mergeCell ref="Q523:S523"/>
    <mergeCell ref="T523:V523"/>
    <mergeCell ref="B523:D523"/>
    <mergeCell ref="E535:G535"/>
    <mergeCell ref="H535:J535"/>
    <mergeCell ref="K535:M535"/>
    <mergeCell ref="N535:P535"/>
    <mergeCell ref="Q535:S535"/>
    <mergeCell ref="T535:V535"/>
    <mergeCell ref="B535:D535"/>
    <mergeCell ref="E499:G499"/>
    <mergeCell ref="H499:J499"/>
    <mergeCell ref="K499:M499"/>
    <mergeCell ref="N499:P499"/>
    <mergeCell ref="Q499:S499"/>
    <mergeCell ref="T499:V499"/>
    <mergeCell ref="B499:D499"/>
    <mergeCell ref="E511:G511"/>
    <mergeCell ref="H511:J511"/>
    <mergeCell ref="K511:M511"/>
    <mergeCell ref="N511:P511"/>
    <mergeCell ref="Q511:S511"/>
    <mergeCell ref="T511:V511"/>
    <mergeCell ref="B511:D511"/>
    <mergeCell ref="E475:G475"/>
    <mergeCell ref="H475:J475"/>
    <mergeCell ref="K475:M475"/>
    <mergeCell ref="N475:P475"/>
    <mergeCell ref="Q475:S475"/>
    <mergeCell ref="T475:V475"/>
    <mergeCell ref="B475:D475"/>
    <mergeCell ref="E487:G487"/>
    <mergeCell ref="H487:J487"/>
    <mergeCell ref="K487:M487"/>
    <mergeCell ref="N487:P487"/>
    <mergeCell ref="Q487:S487"/>
    <mergeCell ref="T487:V487"/>
    <mergeCell ref="B487:D487"/>
    <mergeCell ref="E451:G451"/>
    <mergeCell ref="H451:J451"/>
    <mergeCell ref="K451:M451"/>
    <mergeCell ref="N451:P451"/>
    <mergeCell ref="Q451:S451"/>
    <mergeCell ref="T451:V451"/>
    <mergeCell ref="B451:D451"/>
    <mergeCell ref="E463:G463"/>
    <mergeCell ref="H463:J463"/>
    <mergeCell ref="K463:M463"/>
    <mergeCell ref="N463:P463"/>
    <mergeCell ref="Q463:S463"/>
    <mergeCell ref="T463:V463"/>
    <mergeCell ref="B463:D463"/>
    <mergeCell ref="K427:M427"/>
    <mergeCell ref="N427:P427"/>
    <mergeCell ref="Q427:S427"/>
    <mergeCell ref="T427:V427"/>
    <mergeCell ref="B427:D427"/>
    <mergeCell ref="E439:G439"/>
    <mergeCell ref="H439:J439"/>
    <mergeCell ref="K439:M439"/>
    <mergeCell ref="N439:P439"/>
    <mergeCell ref="Q439:S439"/>
    <mergeCell ref="T439:V439"/>
    <mergeCell ref="B439:D439"/>
    <mergeCell ref="B643:D643"/>
    <mergeCell ref="E643:G643"/>
    <mergeCell ref="H643:J643"/>
    <mergeCell ref="K643:M643"/>
    <mergeCell ref="N643:P643"/>
    <mergeCell ref="Q643:S643"/>
    <mergeCell ref="T643:V643"/>
    <mergeCell ref="B391:D391"/>
    <mergeCell ref="E403:G403"/>
    <mergeCell ref="H403:J403"/>
    <mergeCell ref="K403:M403"/>
    <mergeCell ref="N403:P403"/>
    <mergeCell ref="Q403:S403"/>
    <mergeCell ref="T403:V403"/>
    <mergeCell ref="B403:D403"/>
    <mergeCell ref="E415:G415"/>
    <mergeCell ref="H415:J415"/>
    <mergeCell ref="K415:M415"/>
    <mergeCell ref="N415:P415"/>
    <mergeCell ref="Q415:S415"/>
    <mergeCell ref="T415:V415"/>
    <mergeCell ref="B415:D415"/>
    <mergeCell ref="E427:G427"/>
    <mergeCell ref="H427:J427"/>
    <mergeCell ref="E45:G45"/>
    <mergeCell ref="H45:J45"/>
    <mergeCell ref="K45:M45"/>
    <mergeCell ref="N45:P45"/>
    <mergeCell ref="Q45:S45"/>
    <mergeCell ref="T45:V45"/>
    <mergeCell ref="B45:D45"/>
    <mergeCell ref="E57:G57"/>
    <mergeCell ref="H57:J57"/>
    <mergeCell ref="K57:M57"/>
    <mergeCell ref="N57:P57"/>
    <mergeCell ref="Q57:S57"/>
    <mergeCell ref="T57:V57"/>
    <mergeCell ref="E23:G23"/>
    <mergeCell ref="H23:J23"/>
    <mergeCell ref="K23:M23"/>
    <mergeCell ref="N23:P23"/>
    <mergeCell ref="Q23:S23"/>
    <mergeCell ref="T23:V23"/>
    <mergeCell ref="B23:D23"/>
    <mergeCell ref="E34:G34"/>
    <mergeCell ref="H34:J34"/>
    <mergeCell ref="K34:M34"/>
    <mergeCell ref="N34:P34"/>
    <mergeCell ref="Q34:S34"/>
    <mergeCell ref="T34:V34"/>
    <mergeCell ref="B34:D34"/>
    <mergeCell ref="B1:V1"/>
    <mergeCell ref="E2:G2"/>
    <mergeCell ref="H2:J2"/>
    <mergeCell ref="K2:M2"/>
    <mergeCell ref="N2:P2"/>
    <mergeCell ref="Q2:S2"/>
    <mergeCell ref="T2:V2"/>
    <mergeCell ref="B2:D2"/>
    <mergeCell ref="E12:G12"/>
    <mergeCell ref="H12:J12"/>
    <mergeCell ref="K12:M12"/>
    <mergeCell ref="N12:P12"/>
    <mergeCell ref="Q12:S12"/>
    <mergeCell ref="T12:V12"/>
    <mergeCell ref="B12:D12"/>
    <mergeCell ref="E619:G619"/>
    <mergeCell ref="H619:J619"/>
    <mergeCell ref="K619:M619"/>
    <mergeCell ref="N619:P619"/>
    <mergeCell ref="Q619:S619"/>
    <mergeCell ref="T619:V619"/>
    <mergeCell ref="B619:D619"/>
    <mergeCell ref="E631:G631"/>
    <mergeCell ref="H631:J631"/>
    <mergeCell ref="K631:M631"/>
    <mergeCell ref="N631:P631"/>
    <mergeCell ref="Q631:S631"/>
    <mergeCell ref="T631:V631"/>
    <mergeCell ref="B631:D631"/>
    <mergeCell ref="E595:G595"/>
    <mergeCell ref="H595:J595"/>
    <mergeCell ref="K595:M595"/>
    <mergeCell ref="N595:P595"/>
    <mergeCell ref="Q595:S595"/>
    <mergeCell ref="T595:V595"/>
    <mergeCell ref="B595:D595"/>
    <mergeCell ref="E607:G607"/>
    <mergeCell ref="H607:J607"/>
    <mergeCell ref="K607:M607"/>
    <mergeCell ref="N607:P607"/>
    <mergeCell ref="Q607:S607"/>
    <mergeCell ref="T607:V607"/>
    <mergeCell ref="B607:D607"/>
    <mergeCell ref="B559:D559"/>
    <mergeCell ref="E571:G571"/>
    <mergeCell ref="H571:J571"/>
    <mergeCell ref="K571:M571"/>
    <mergeCell ref="N571:P571"/>
    <mergeCell ref="Q571:S571"/>
    <mergeCell ref="T571:V571"/>
    <mergeCell ref="B571:D571"/>
    <mergeCell ref="E583:G583"/>
    <mergeCell ref="H583:J583"/>
    <mergeCell ref="K583:M583"/>
    <mergeCell ref="N583:P583"/>
    <mergeCell ref="Q583:S583"/>
    <mergeCell ref="T583:V583"/>
    <mergeCell ref="B583:D583"/>
    <mergeCell ref="E379:G379"/>
    <mergeCell ref="H379:J379"/>
    <mergeCell ref="K379:M379"/>
    <mergeCell ref="N379:P379"/>
    <mergeCell ref="Q379:S379"/>
    <mergeCell ref="T379:V379"/>
    <mergeCell ref="B379:D379"/>
    <mergeCell ref="E391:G391"/>
    <mergeCell ref="H391:J391"/>
    <mergeCell ref="K391:M391"/>
    <mergeCell ref="N391:P391"/>
    <mergeCell ref="Q391:S391"/>
    <mergeCell ref="T391:V391"/>
    <mergeCell ref="E355:G355"/>
    <mergeCell ref="H355:J355"/>
    <mergeCell ref="K355:M355"/>
    <mergeCell ref="N355:P355"/>
    <mergeCell ref="Q355:S355"/>
    <mergeCell ref="T355:V355"/>
    <mergeCell ref="B355:D355"/>
    <mergeCell ref="E367:G367"/>
    <mergeCell ref="H367:J367"/>
    <mergeCell ref="K367:M367"/>
    <mergeCell ref="N367:P367"/>
    <mergeCell ref="Q367:S367"/>
    <mergeCell ref="T367:V367"/>
    <mergeCell ref="B367:D367"/>
    <mergeCell ref="E331:G331"/>
    <mergeCell ref="H331:J331"/>
    <mergeCell ref="K331:M331"/>
    <mergeCell ref="N331:P331"/>
    <mergeCell ref="Q331:S331"/>
    <mergeCell ref="T331:V331"/>
    <mergeCell ref="B331:D331"/>
    <mergeCell ref="E343:G343"/>
    <mergeCell ref="H343:J343"/>
    <mergeCell ref="K343:M343"/>
    <mergeCell ref="N343:P343"/>
    <mergeCell ref="Q343:S343"/>
    <mergeCell ref="T343:V343"/>
    <mergeCell ref="B343:D343"/>
    <mergeCell ref="E307:G307"/>
    <mergeCell ref="H307:J307"/>
    <mergeCell ref="K307:M307"/>
    <mergeCell ref="N307:P307"/>
    <mergeCell ref="Q307:S307"/>
    <mergeCell ref="T307:V307"/>
    <mergeCell ref="B307:D307"/>
    <mergeCell ref="E319:G319"/>
    <mergeCell ref="H319:J319"/>
    <mergeCell ref="K319:M319"/>
    <mergeCell ref="N319:P319"/>
    <mergeCell ref="Q319:S319"/>
    <mergeCell ref="T319:V319"/>
    <mergeCell ref="B319:D319"/>
    <mergeCell ref="E283:G283"/>
    <mergeCell ref="H283:J283"/>
    <mergeCell ref="K283:M283"/>
    <mergeCell ref="N283:P283"/>
    <mergeCell ref="Q283:S283"/>
    <mergeCell ref="T283:V283"/>
    <mergeCell ref="B283:D283"/>
    <mergeCell ref="E295:G295"/>
    <mergeCell ref="H295:J295"/>
    <mergeCell ref="K295:M295"/>
    <mergeCell ref="N295:P295"/>
    <mergeCell ref="Q295:S295"/>
    <mergeCell ref="T295:V295"/>
    <mergeCell ref="B295:D295"/>
    <mergeCell ref="E259:G259"/>
    <mergeCell ref="H259:J259"/>
    <mergeCell ref="K259:M259"/>
    <mergeCell ref="N259:P259"/>
    <mergeCell ref="Q259:S259"/>
    <mergeCell ref="T259:V259"/>
    <mergeCell ref="B259:D259"/>
    <mergeCell ref="E271:G271"/>
    <mergeCell ref="H271:J271"/>
    <mergeCell ref="K271:M271"/>
    <mergeCell ref="N271:P271"/>
    <mergeCell ref="Q271:S271"/>
    <mergeCell ref="T271:V271"/>
    <mergeCell ref="B271:D271"/>
    <mergeCell ref="E235:G235"/>
    <mergeCell ref="H235:J235"/>
    <mergeCell ref="K235:M235"/>
    <mergeCell ref="N235:P235"/>
    <mergeCell ref="Q235:S235"/>
    <mergeCell ref="T235:V235"/>
    <mergeCell ref="B235:D235"/>
    <mergeCell ref="E247:G247"/>
    <mergeCell ref="H247:J247"/>
    <mergeCell ref="K247:M247"/>
    <mergeCell ref="N247:P247"/>
    <mergeCell ref="Q247:S247"/>
    <mergeCell ref="T247:V247"/>
    <mergeCell ref="B247:D247"/>
    <mergeCell ref="E211:G211"/>
    <mergeCell ref="H211:J211"/>
    <mergeCell ref="K211:M211"/>
    <mergeCell ref="N211:P211"/>
    <mergeCell ref="Q211:S211"/>
    <mergeCell ref="T211:V211"/>
    <mergeCell ref="B211:D211"/>
    <mergeCell ref="E223:G223"/>
    <mergeCell ref="H223:J223"/>
    <mergeCell ref="K223:M223"/>
    <mergeCell ref="N223:P223"/>
    <mergeCell ref="Q223:S223"/>
    <mergeCell ref="T223:V223"/>
    <mergeCell ref="B223:D223"/>
    <mergeCell ref="E187:G187"/>
    <mergeCell ref="H187:J187"/>
    <mergeCell ref="K187:M187"/>
    <mergeCell ref="N187:P187"/>
    <mergeCell ref="Q187:S187"/>
    <mergeCell ref="T187:V187"/>
    <mergeCell ref="B187:D187"/>
    <mergeCell ref="E199:G199"/>
    <mergeCell ref="H199:J199"/>
    <mergeCell ref="K199:M199"/>
    <mergeCell ref="N199:P199"/>
    <mergeCell ref="Q199:S199"/>
    <mergeCell ref="T199:V199"/>
    <mergeCell ref="B199:D199"/>
    <mergeCell ref="E163:G163"/>
    <mergeCell ref="H163:J163"/>
    <mergeCell ref="K163:M163"/>
    <mergeCell ref="N163:P163"/>
    <mergeCell ref="Q163:S163"/>
    <mergeCell ref="T163:V163"/>
    <mergeCell ref="B163:D163"/>
    <mergeCell ref="E175:G175"/>
    <mergeCell ref="H175:J175"/>
    <mergeCell ref="K175:M175"/>
    <mergeCell ref="N175:P175"/>
    <mergeCell ref="Q175:S175"/>
    <mergeCell ref="T175:V175"/>
    <mergeCell ref="B175:D175"/>
    <mergeCell ref="E139:G139"/>
    <mergeCell ref="H139:J139"/>
    <mergeCell ref="K139:M139"/>
    <mergeCell ref="N139:P139"/>
    <mergeCell ref="Q139:S139"/>
    <mergeCell ref="T139:V139"/>
    <mergeCell ref="B139:D139"/>
    <mergeCell ref="E151:G151"/>
    <mergeCell ref="H151:J151"/>
    <mergeCell ref="K151:M151"/>
    <mergeCell ref="N151:P151"/>
    <mergeCell ref="Q151:S151"/>
    <mergeCell ref="T151:V151"/>
    <mergeCell ref="B151:D151"/>
    <mergeCell ref="E115:G115"/>
    <mergeCell ref="H115:J115"/>
    <mergeCell ref="K115:M115"/>
    <mergeCell ref="N115:P115"/>
    <mergeCell ref="Q115:S115"/>
    <mergeCell ref="T115:V115"/>
    <mergeCell ref="B115:D115"/>
    <mergeCell ref="E127:G127"/>
    <mergeCell ref="H127:J127"/>
    <mergeCell ref="K127:M127"/>
    <mergeCell ref="N127:P127"/>
    <mergeCell ref="Q127:S127"/>
    <mergeCell ref="T127:V127"/>
    <mergeCell ref="B127:D127"/>
    <mergeCell ref="E91:G91"/>
    <mergeCell ref="H91:J91"/>
    <mergeCell ref="K91:M91"/>
    <mergeCell ref="N91:P91"/>
    <mergeCell ref="Q91:S91"/>
    <mergeCell ref="T91:V91"/>
    <mergeCell ref="B91:D91"/>
    <mergeCell ref="E103:G103"/>
    <mergeCell ref="H103:J103"/>
    <mergeCell ref="K103:M103"/>
    <mergeCell ref="N103:P103"/>
    <mergeCell ref="Q103:S103"/>
    <mergeCell ref="T103:V103"/>
    <mergeCell ref="B103:D103"/>
    <mergeCell ref="B57:D57"/>
    <mergeCell ref="E67:G67"/>
    <mergeCell ref="H67:J67"/>
    <mergeCell ref="K67:M67"/>
    <mergeCell ref="N67:P67"/>
    <mergeCell ref="Q67:S67"/>
    <mergeCell ref="T67:V67"/>
    <mergeCell ref="B67:D67"/>
    <mergeCell ref="E79:G79"/>
    <mergeCell ref="H79:J79"/>
    <mergeCell ref="K79:M79"/>
    <mergeCell ref="N79:P79"/>
    <mergeCell ref="Q79:S79"/>
    <mergeCell ref="T79:V79"/>
    <mergeCell ref="B79:D79"/>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70" zoomScaleNormal="70" workbookViewId="0">
      <selection sqref="A1:W642"/>
    </sheetView>
  </sheetViews>
  <sheetFormatPr defaultColWidth="14.453125" defaultRowHeight="15" customHeight="1"/>
  <cols>
    <col min="1" max="1" width="18.0898437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3" ht="58.5" customHeight="1">
      <c r="A1" s="85"/>
      <c r="B1" s="73" t="s">
        <v>185</v>
      </c>
      <c r="C1" s="81"/>
      <c r="D1" s="81"/>
      <c r="E1" s="81"/>
      <c r="F1" s="81"/>
      <c r="G1" s="81"/>
      <c r="H1" s="81"/>
      <c r="I1" s="81"/>
      <c r="J1" s="81"/>
      <c r="K1" s="81"/>
      <c r="L1" s="81"/>
      <c r="M1" s="81"/>
      <c r="N1" s="81"/>
      <c r="O1" s="81"/>
      <c r="P1" s="81"/>
      <c r="Q1" s="81"/>
      <c r="R1" s="81"/>
      <c r="S1" s="81"/>
      <c r="T1" s="81"/>
      <c r="U1" s="81"/>
      <c r="V1" s="82"/>
      <c r="W1" s="84"/>
    </row>
    <row r="2" spans="1:23" ht="22.5" customHeight="1">
      <c r="A2" s="85"/>
      <c r="B2" s="78" t="s">
        <v>186</v>
      </c>
      <c r="C2" s="81"/>
      <c r="D2" s="82"/>
      <c r="E2" s="77">
        <f>DATE(
  VALUE(LEFT($B$2,4)),
  VALUE(MID($B$2,6,2)),
  VALUE(RIGHT($B$2,2))
)
+ INT((COLUMN()-COLUMN($B2))/3)</f>
        <v>46748</v>
      </c>
      <c r="F2" s="81"/>
      <c r="G2" s="82"/>
      <c r="H2" s="77">
        <f>DATE(
  VALUE(LEFT($B$2,4)),
  VALUE(MID($B$2,6,2)),
  VALUE(RIGHT($B$2,2))
)
+ INT((COLUMN()-COLUMN($B2))/3)</f>
        <v>46749</v>
      </c>
      <c r="I2" s="81"/>
      <c r="J2" s="82"/>
      <c r="K2" s="77">
        <f>DATE(
  VALUE(LEFT($B$2,4)),
  VALUE(MID($B$2,6,2)),
  VALUE(RIGHT($B$2,2))
)
+ INT((COLUMN()-COLUMN($B2))/3)</f>
        <v>46750</v>
      </c>
      <c r="L2" s="81"/>
      <c r="M2" s="82"/>
      <c r="N2" s="77">
        <f>DATE(
  VALUE(LEFT($B$2,4)),
  VALUE(MID($B$2,6,2)),
  VALUE(RIGHT($B$2,2))
)
+ INT((COLUMN()-COLUMN($B2))/3)</f>
        <v>46751</v>
      </c>
      <c r="O2" s="81"/>
      <c r="P2" s="82"/>
      <c r="Q2" s="77">
        <f>DATE(
  VALUE(LEFT($B$2,4)),
  VALUE(MID($B$2,6,2)),
  VALUE(RIGHT($B$2,2))
)
+ INT((COLUMN()-COLUMN($B2))/3)</f>
        <v>46752</v>
      </c>
      <c r="R2" s="81"/>
      <c r="S2" s="82"/>
      <c r="T2" s="77">
        <f>DATE(
  VALUE(LEFT($B$2,4)),
  VALUE(MID($B$2,6,2)),
  VALUE(RIGHT($B$2,2))
)
+ INT((COLUMN()-COLUMN($B2))/3)</f>
        <v>46753</v>
      </c>
      <c r="U2" s="81"/>
      <c r="V2" s="82"/>
      <c r="W2" s="86" t="s">
        <v>2</v>
      </c>
    </row>
    <row r="3" spans="1:23" ht="17.25" customHeight="1">
      <c r="A3" s="7" t="s">
        <v>21</v>
      </c>
      <c r="B3" s="8" t="s">
        <v>123</v>
      </c>
      <c r="C3" s="9" t="s">
        <v>124</v>
      </c>
      <c r="D3" s="10" t="s">
        <v>125</v>
      </c>
      <c r="E3" s="11" t="s">
        <v>123</v>
      </c>
      <c r="F3" s="12" t="s">
        <v>124</v>
      </c>
      <c r="G3" s="13" t="s">
        <v>125</v>
      </c>
      <c r="H3" s="11" t="s">
        <v>123</v>
      </c>
      <c r="I3" s="12" t="s">
        <v>124</v>
      </c>
      <c r="J3" s="13" t="s">
        <v>125</v>
      </c>
      <c r="K3" s="11" t="s">
        <v>123</v>
      </c>
      <c r="L3" s="12" t="s">
        <v>124</v>
      </c>
      <c r="M3" s="13" t="s">
        <v>125</v>
      </c>
      <c r="N3" s="11" t="s">
        <v>123</v>
      </c>
      <c r="O3" s="12" t="s">
        <v>124</v>
      </c>
      <c r="P3" s="13" t="s">
        <v>125</v>
      </c>
      <c r="Q3" s="11" t="s">
        <v>123</v>
      </c>
      <c r="R3" s="12" t="s">
        <v>124</v>
      </c>
      <c r="S3" s="13" t="s">
        <v>125</v>
      </c>
      <c r="T3" s="11" t="s">
        <v>123</v>
      </c>
      <c r="U3" s="12" t="s">
        <v>124</v>
      </c>
      <c r="V3" s="13" t="s">
        <v>125</v>
      </c>
      <c r="W3" s="90" t="s">
        <v>4</v>
      </c>
    </row>
    <row r="4" spans="1:23" ht="15" customHeight="1">
      <c r="A4" s="14" t="s">
        <v>126</v>
      </c>
      <c r="B4" s="117"/>
      <c r="C4" s="117"/>
      <c r="D4" s="15" t="s">
        <v>127</v>
      </c>
      <c r="E4" s="16" t="s">
        <v>128</v>
      </c>
      <c r="F4" s="111"/>
      <c r="G4" s="17">
        <f>SUM(D11+F4)</f>
        <v>1</v>
      </c>
      <c r="H4" s="117"/>
      <c r="I4" s="117"/>
      <c r="J4" s="15">
        <f>G11+I4</f>
        <v>1</v>
      </c>
      <c r="K4" s="112"/>
      <c r="L4" s="111"/>
      <c r="M4" s="18">
        <f>J11+L4</f>
        <v>1</v>
      </c>
      <c r="N4" s="118"/>
      <c r="O4" s="117"/>
      <c r="P4" s="15">
        <f>M11+O4</f>
        <v>1</v>
      </c>
      <c r="Q4" s="112"/>
      <c r="R4" s="111"/>
      <c r="S4" s="18">
        <f>P11+R4</f>
        <v>-724</v>
      </c>
      <c r="T4" s="118"/>
      <c r="U4" s="117"/>
      <c r="V4" s="15">
        <f>S11+U4</f>
        <v>-724</v>
      </c>
      <c r="W4" s="95"/>
    </row>
    <row r="5" spans="1:23" ht="15" customHeight="1">
      <c r="A5" s="91"/>
      <c r="B5" s="117"/>
      <c r="C5" s="117"/>
      <c r="D5" s="19" t="s">
        <v>129</v>
      </c>
      <c r="E5" s="16" t="s">
        <v>130</v>
      </c>
      <c r="F5" s="107"/>
      <c r="G5" s="17">
        <f t="shared" ref="G5:G11" si="0">SUM(G4+F5)</f>
        <v>1</v>
      </c>
      <c r="H5" s="117"/>
      <c r="I5" s="117"/>
      <c r="J5" s="19">
        <f t="shared" ref="J5:J11" si="1">J4+I5</f>
        <v>1</v>
      </c>
      <c r="K5" s="106"/>
      <c r="L5" s="107"/>
      <c r="M5" s="20">
        <f t="shared" ref="M5:M11" si="2">M4+L5</f>
        <v>1</v>
      </c>
      <c r="N5" s="21" t="s">
        <v>30</v>
      </c>
      <c r="O5" s="22">
        <v>-725</v>
      </c>
      <c r="P5" s="19">
        <f t="shared" ref="P5:P11" si="3">P4+O5</f>
        <v>-724</v>
      </c>
      <c r="Q5" s="106"/>
      <c r="R5" s="107"/>
      <c r="S5" s="23">
        <f t="shared" ref="S5:S11" si="4">S4+R5</f>
        <v>-724</v>
      </c>
      <c r="T5" s="118"/>
      <c r="U5" s="117"/>
      <c r="V5" s="19">
        <f t="shared" ref="V5:V11" si="5">V4+U5</f>
        <v>-724</v>
      </c>
      <c r="W5" s="96" t="s">
        <v>5</v>
      </c>
    </row>
    <row r="6" spans="1:23" ht="15" customHeight="1">
      <c r="A6" s="91"/>
      <c r="B6" s="24" t="s">
        <v>131</v>
      </c>
      <c r="C6" s="161"/>
      <c r="D6" s="25" t="s">
        <v>129</v>
      </c>
      <c r="E6" s="16" t="s">
        <v>132</v>
      </c>
      <c r="F6" s="107"/>
      <c r="G6" s="17">
        <f t="shared" si="0"/>
        <v>1</v>
      </c>
      <c r="H6" s="117"/>
      <c r="I6" s="117"/>
      <c r="J6" s="19">
        <f t="shared" si="1"/>
        <v>1</v>
      </c>
      <c r="K6" s="106"/>
      <c r="L6" s="107"/>
      <c r="M6" s="26">
        <f t="shared" si="2"/>
        <v>1</v>
      </c>
      <c r="N6" s="118"/>
      <c r="O6" s="117"/>
      <c r="P6" s="19">
        <f t="shared" si="3"/>
        <v>-724</v>
      </c>
      <c r="Q6" s="106"/>
      <c r="R6" s="107"/>
      <c r="S6" s="23">
        <f t="shared" si="4"/>
        <v>-724</v>
      </c>
      <c r="T6" s="118"/>
      <c r="U6" s="117"/>
      <c r="V6" s="19">
        <f t="shared" si="5"/>
        <v>-724</v>
      </c>
      <c r="W6" s="96" t="s">
        <v>6</v>
      </c>
    </row>
    <row r="7" spans="1:23" ht="15" customHeight="1">
      <c r="A7" s="91"/>
      <c r="B7" s="27" t="s">
        <v>125</v>
      </c>
      <c r="C7" s="161"/>
      <c r="D7" s="25">
        <v>1</v>
      </c>
      <c r="E7" s="106"/>
      <c r="F7" s="107"/>
      <c r="G7" s="17">
        <f t="shared" si="0"/>
        <v>1</v>
      </c>
      <c r="H7" s="117"/>
      <c r="I7" s="117"/>
      <c r="J7" s="19">
        <f t="shared" si="1"/>
        <v>1</v>
      </c>
      <c r="K7" s="106"/>
      <c r="L7" s="107"/>
      <c r="M7" s="26">
        <f t="shared" si="2"/>
        <v>1</v>
      </c>
      <c r="N7" s="118"/>
      <c r="O7" s="117"/>
      <c r="P7" s="19">
        <f t="shared" si="3"/>
        <v>-724</v>
      </c>
      <c r="Q7" s="106"/>
      <c r="R7" s="107"/>
      <c r="S7" s="23">
        <f t="shared" si="4"/>
        <v>-724</v>
      </c>
      <c r="T7" s="118"/>
      <c r="U7" s="117"/>
      <c r="V7" s="19">
        <f t="shared" si="5"/>
        <v>-724</v>
      </c>
      <c r="W7" s="96" t="s">
        <v>7</v>
      </c>
    </row>
    <row r="8" spans="1:23" ht="15" customHeight="1">
      <c r="A8" s="91"/>
      <c r="B8" s="118"/>
      <c r="C8" s="117"/>
      <c r="D8" s="19">
        <f t="shared" ref="D8:D11" si="6">D7+C8</f>
        <v>1</v>
      </c>
      <c r="E8" s="28" t="s">
        <v>133</v>
      </c>
      <c r="F8" s="107"/>
      <c r="G8" s="17">
        <f t="shared" si="0"/>
        <v>1</v>
      </c>
      <c r="H8" s="117"/>
      <c r="I8" s="117"/>
      <c r="J8" s="19">
        <f t="shared" si="1"/>
        <v>1</v>
      </c>
      <c r="K8" s="106"/>
      <c r="L8" s="107"/>
      <c r="M8" s="23">
        <f t="shared" si="2"/>
        <v>1</v>
      </c>
      <c r="N8" s="118"/>
      <c r="O8" s="117"/>
      <c r="P8" s="19">
        <f t="shared" si="3"/>
        <v>-724</v>
      </c>
      <c r="Q8" s="106"/>
      <c r="R8" s="107"/>
      <c r="S8" s="23">
        <f t="shared" si="4"/>
        <v>-724</v>
      </c>
      <c r="T8" s="118"/>
      <c r="U8" s="117"/>
      <c r="V8" s="19">
        <f t="shared" si="5"/>
        <v>-724</v>
      </c>
      <c r="W8" s="96" t="s">
        <v>8</v>
      </c>
    </row>
    <row r="9" spans="1:23" ht="15" customHeight="1">
      <c r="A9" s="91"/>
      <c r="B9" s="118"/>
      <c r="C9" s="117"/>
      <c r="D9" s="19">
        <f t="shared" si="6"/>
        <v>1</v>
      </c>
      <c r="E9" s="28" t="s">
        <v>134</v>
      </c>
      <c r="F9" s="107"/>
      <c r="G9" s="17">
        <f t="shared" si="0"/>
        <v>1</v>
      </c>
      <c r="H9" s="118"/>
      <c r="I9" s="117"/>
      <c r="J9" s="19">
        <f t="shared" si="1"/>
        <v>1</v>
      </c>
      <c r="K9" s="106"/>
      <c r="L9" s="107"/>
      <c r="M9" s="23">
        <f t="shared" si="2"/>
        <v>1</v>
      </c>
      <c r="N9" s="118"/>
      <c r="O9" s="117"/>
      <c r="P9" s="19">
        <f t="shared" si="3"/>
        <v>-724</v>
      </c>
      <c r="Q9" s="106"/>
      <c r="R9" s="107"/>
      <c r="S9" s="23">
        <f t="shared" si="4"/>
        <v>-724</v>
      </c>
      <c r="T9" s="118"/>
      <c r="U9" s="117"/>
      <c r="V9" s="19">
        <f t="shared" si="5"/>
        <v>-724</v>
      </c>
      <c r="W9" s="96" t="s">
        <v>9</v>
      </c>
    </row>
    <row r="10" spans="1:23" ht="15" customHeight="1">
      <c r="A10" s="91"/>
      <c r="B10" s="118"/>
      <c r="C10" s="117"/>
      <c r="D10" s="19">
        <f t="shared" si="6"/>
        <v>1</v>
      </c>
      <c r="E10" s="28" t="s">
        <v>135</v>
      </c>
      <c r="F10" s="107"/>
      <c r="G10" s="17">
        <f t="shared" si="0"/>
        <v>1</v>
      </c>
      <c r="H10" s="118"/>
      <c r="I10" s="117"/>
      <c r="J10" s="19">
        <f t="shared" si="1"/>
        <v>1</v>
      </c>
      <c r="K10" s="106"/>
      <c r="L10" s="107"/>
      <c r="M10" s="23">
        <f t="shared" si="2"/>
        <v>1</v>
      </c>
      <c r="N10" s="118"/>
      <c r="O10" s="117"/>
      <c r="P10" s="19">
        <f t="shared" si="3"/>
        <v>-724</v>
      </c>
      <c r="Q10" s="106"/>
      <c r="R10" s="107"/>
      <c r="S10" s="23">
        <f t="shared" si="4"/>
        <v>-724</v>
      </c>
      <c r="T10" s="118"/>
      <c r="U10" s="117"/>
      <c r="V10" s="19">
        <f t="shared" si="5"/>
        <v>-724</v>
      </c>
      <c r="W10" s="96" t="s">
        <v>10</v>
      </c>
    </row>
    <row r="11" spans="1:23" ht="15" customHeight="1">
      <c r="A11" s="91"/>
      <c r="B11" s="154"/>
      <c r="C11" s="128"/>
      <c r="D11" s="29">
        <f t="shared" si="6"/>
        <v>1</v>
      </c>
      <c r="E11" s="122"/>
      <c r="F11" s="123"/>
      <c r="G11" s="30">
        <f t="shared" si="0"/>
        <v>1</v>
      </c>
      <c r="H11" s="154"/>
      <c r="I11" s="128"/>
      <c r="J11" s="29">
        <f t="shared" si="1"/>
        <v>1</v>
      </c>
      <c r="K11" s="122"/>
      <c r="L11" s="123"/>
      <c r="M11" s="31">
        <f t="shared" si="2"/>
        <v>1</v>
      </c>
      <c r="N11" s="154"/>
      <c r="O11" s="128"/>
      <c r="P11" s="29">
        <f t="shared" si="3"/>
        <v>-724</v>
      </c>
      <c r="Q11" s="122"/>
      <c r="R11" s="123"/>
      <c r="S11" s="31">
        <f t="shared" si="4"/>
        <v>-724</v>
      </c>
      <c r="T11" s="154"/>
      <c r="U11" s="128"/>
      <c r="V11" s="29">
        <f t="shared" si="5"/>
        <v>-724</v>
      </c>
      <c r="W11" s="32" t="s">
        <v>11</v>
      </c>
    </row>
    <row r="12" spans="1:23" ht="21.75" customHeight="1">
      <c r="A12" s="162"/>
      <c r="B12" s="77">
        <f>DATE(
  VALUE(LEFT($B$2,4)),
  VALUE(MID($B$2,6,2)),
  VALUE(RIGHT($B$2,2))
) + 7</f>
        <v>46754</v>
      </c>
      <c r="C12" s="81"/>
      <c r="D12" s="82"/>
      <c r="E12" s="77">
        <f>DATE(VALUE(LEFT($B$2,4)),VALUE(MID($B$2,6,2)),VALUE(RIGHT($B$2,2)))
+ 7
+ INT((COLUMN()-COLUMN($B12))/3)</f>
        <v>46755</v>
      </c>
      <c r="F12" s="81"/>
      <c r="G12" s="82"/>
      <c r="H12" s="77">
        <f>DATE(VALUE(LEFT($B$2,4)),VALUE(MID($B$2,6,2)),VALUE(RIGHT($B$2,2)))
+ 7
+ INT((COLUMN()-COLUMN($B12))/3)</f>
        <v>46756</v>
      </c>
      <c r="I12" s="81"/>
      <c r="J12" s="82"/>
      <c r="K12" s="77">
        <f>DATE(VALUE(LEFT($B$2,4)),VALUE(MID($B$2,6,2)),VALUE(RIGHT($B$2,2)))
+ 7
+ INT((COLUMN()-COLUMN($B12))/3)</f>
        <v>46757</v>
      </c>
      <c r="L12" s="81"/>
      <c r="M12" s="82"/>
      <c r="N12" s="77">
        <f>DATE(VALUE(LEFT($B$2,4)),VALUE(MID($B$2,6,2)),VALUE(RIGHT($B$2,2)))
+ 7
+ INT((COLUMN()-COLUMN($B12))/3)</f>
        <v>46758</v>
      </c>
      <c r="O12" s="81"/>
      <c r="P12" s="82"/>
      <c r="Q12" s="77">
        <f>DATE(VALUE(LEFT($B$2,4)),VALUE(MID($B$2,6,2)),VALUE(RIGHT($B$2,2)))
+ 7
+ INT((COLUMN()-COLUMN($B12))/3)</f>
        <v>46759</v>
      </c>
      <c r="R12" s="81"/>
      <c r="S12" s="82"/>
      <c r="T12" s="77">
        <f>DATE(VALUE(LEFT($B$2,4)),VALUE(MID($B$2,6,2)),VALUE(RIGHT($B$2,2)))
+ 7
+ INT((COLUMN()-COLUMN($B12))/3)</f>
        <v>46760</v>
      </c>
      <c r="U12" s="81"/>
      <c r="V12" s="82"/>
      <c r="W12" s="33" t="s">
        <v>12</v>
      </c>
    </row>
    <row r="13" spans="1:23" ht="15" customHeight="1">
      <c r="A13" s="14" t="s">
        <v>136</v>
      </c>
      <c r="B13" s="34" t="s">
        <v>74</v>
      </c>
      <c r="C13" s="18">
        <v>-75</v>
      </c>
      <c r="D13" s="17">
        <f>V11+C13</f>
        <v>-799</v>
      </c>
      <c r="E13" s="109"/>
      <c r="F13" s="109"/>
      <c r="G13" s="35">
        <f>D22+F13</f>
        <v>-889</v>
      </c>
      <c r="H13" s="112"/>
      <c r="I13" s="111"/>
      <c r="J13" s="17">
        <f>G22+I13</f>
        <v>-889</v>
      </c>
      <c r="K13" s="113"/>
      <c r="L13" s="109"/>
      <c r="M13" s="35">
        <f>J22+L13</f>
        <v>-889</v>
      </c>
      <c r="N13" s="112"/>
      <c r="O13" s="111"/>
      <c r="P13" s="17">
        <f>M22+O13</f>
        <v>-889</v>
      </c>
      <c r="Q13" s="113"/>
      <c r="R13" s="109"/>
      <c r="S13" s="35">
        <f>P22+R13</f>
        <v>-889</v>
      </c>
      <c r="T13" s="112"/>
      <c r="U13" s="111"/>
      <c r="V13" s="36">
        <f>S22+U13</f>
        <v>-889</v>
      </c>
      <c r="W13" s="98" t="s">
        <v>13</v>
      </c>
    </row>
    <row r="14" spans="1:23" ht="15" customHeight="1">
      <c r="A14" s="91"/>
      <c r="B14" s="37" t="s">
        <v>76</v>
      </c>
      <c r="C14" s="23">
        <v>-25</v>
      </c>
      <c r="D14" s="26">
        <f t="shared" ref="D14:D22" si="7">D13+C14</f>
        <v>-824</v>
      </c>
      <c r="E14" s="117"/>
      <c r="F14" s="117"/>
      <c r="G14" s="38">
        <f t="shared" ref="G14:G22" si="8">G13+F14</f>
        <v>-889</v>
      </c>
      <c r="H14" s="106"/>
      <c r="I14" s="107"/>
      <c r="J14" s="26">
        <f t="shared" ref="J14:J22" si="9">J13+I14</f>
        <v>-889</v>
      </c>
      <c r="K14" s="118"/>
      <c r="L14" s="117"/>
      <c r="M14" s="38">
        <f t="shared" ref="M14:M22" si="10">M13+L14</f>
        <v>-889</v>
      </c>
      <c r="N14" s="106"/>
      <c r="O14" s="107"/>
      <c r="P14" s="26">
        <f t="shared" ref="P14:P22" si="11">P13+O14</f>
        <v>-889</v>
      </c>
      <c r="Q14" s="163"/>
      <c r="R14" s="164"/>
      <c r="S14" s="38">
        <f t="shared" ref="S14:S22" si="12">S13+R14</f>
        <v>-889</v>
      </c>
      <c r="T14" s="106"/>
      <c r="U14" s="107"/>
      <c r="V14" s="26">
        <f t="shared" ref="V14:V22" si="13">V13+U14</f>
        <v>-889</v>
      </c>
      <c r="W14" s="99"/>
    </row>
    <row r="15" spans="1:23" ht="15" customHeight="1">
      <c r="A15" s="91"/>
      <c r="B15" s="37" t="s">
        <v>79</v>
      </c>
      <c r="C15" s="23">
        <v>-65</v>
      </c>
      <c r="D15" s="26">
        <f t="shared" si="7"/>
        <v>-889</v>
      </c>
      <c r="E15" s="118"/>
      <c r="F15" s="117"/>
      <c r="G15" s="38">
        <f t="shared" si="8"/>
        <v>-889</v>
      </c>
      <c r="H15" s="106"/>
      <c r="I15" s="107"/>
      <c r="J15" s="26">
        <f t="shared" si="9"/>
        <v>-889</v>
      </c>
      <c r="K15" s="118"/>
      <c r="L15" s="117"/>
      <c r="M15" s="38">
        <f t="shared" si="10"/>
        <v>-889</v>
      </c>
      <c r="N15" s="106"/>
      <c r="O15" s="107"/>
      <c r="P15" s="26">
        <f t="shared" si="11"/>
        <v>-889</v>
      </c>
      <c r="Q15" s="163"/>
      <c r="R15" s="164"/>
      <c r="S15" s="38">
        <f t="shared" si="12"/>
        <v>-889</v>
      </c>
      <c r="T15" s="106"/>
      <c r="U15" s="107"/>
      <c r="V15" s="26">
        <f t="shared" si="13"/>
        <v>-889</v>
      </c>
      <c r="W15" s="100" t="s">
        <v>14</v>
      </c>
    </row>
    <row r="16" spans="1:23" ht="15" customHeight="1">
      <c r="A16" s="91"/>
      <c r="B16" s="106"/>
      <c r="C16" s="107"/>
      <c r="D16" s="26">
        <f t="shared" si="7"/>
        <v>-889</v>
      </c>
      <c r="E16" s="118"/>
      <c r="F16" s="117"/>
      <c r="G16" s="38">
        <f t="shared" si="8"/>
        <v>-889</v>
      </c>
      <c r="H16" s="106"/>
      <c r="I16" s="107"/>
      <c r="J16" s="26">
        <f t="shared" si="9"/>
        <v>-889</v>
      </c>
      <c r="K16" s="118"/>
      <c r="L16" s="117"/>
      <c r="M16" s="38">
        <f t="shared" si="10"/>
        <v>-889</v>
      </c>
      <c r="N16" s="106"/>
      <c r="O16" s="107"/>
      <c r="P16" s="26">
        <f t="shared" si="11"/>
        <v>-889</v>
      </c>
      <c r="Q16" s="163"/>
      <c r="R16" s="164"/>
      <c r="S16" s="38">
        <f t="shared" si="12"/>
        <v>-889</v>
      </c>
      <c r="T16" s="106"/>
      <c r="U16" s="107"/>
      <c r="V16" s="26">
        <f t="shared" si="13"/>
        <v>-889</v>
      </c>
      <c r="W16" s="101" t="s">
        <v>15</v>
      </c>
    </row>
    <row r="17" spans="1:23" ht="15" customHeight="1">
      <c r="A17" s="91"/>
      <c r="B17" s="106"/>
      <c r="C17" s="107"/>
      <c r="D17" s="26">
        <f t="shared" si="7"/>
        <v>-889</v>
      </c>
      <c r="E17" s="118"/>
      <c r="F17" s="117"/>
      <c r="G17" s="38">
        <f t="shared" si="8"/>
        <v>-889</v>
      </c>
      <c r="H17" s="106"/>
      <c r="I17" s="107"/>
      <c r="J17" s="26">
        <f t="shared" si="9"/>
        <v>-889</v>
      </c>
      <c r="K17" s="118"/>
      <c r="L17" s="117"/>
      <c r="M17" s="38">
        <f t="shared" si="10"/>
        <v>-889</v>
      </c>
      <c r="N17" s="106"/>
      <c r="O17" s="107"/>
      <c r="P17" s="26">
        <f t="shared" si="11"/>
        <v>-889</v>
      </c>
      <c r="Q17" s="163"/>
      <c r="R17" s="164"/>
      <c r="S17" s="38">
        <f t="shared" si="12"/>
        <v>-889</v>
      </c>
      <c r="T17" s="106"/>
      <c r="U17" s="107"/>
      <c r="V17" s="26">
        <f t="shared" si="13"/>
        <v>-889</v>
      </c>
      <c r="W17" s="101" t="s">
        <v>16</v>
      </c>
    </row>
    <row r="18" spans="1:23" ht="15" customHeight="1">
      <c r="A18" s="91"/>
      <c r="B18" s="106"/>
      <c r="C18" s="107"/>
      <c r="D18" s="26">
        <f t="shared" si="7"/>
        <v>-889</v>
      </c>
      <c r="E18" s="118"/>
      <c r="F18" s="117"/>
      <c r="G18" s="38">
        <f t="shared" si="8"/>
        <v>-889</v>
      </c>
      <c r="H18" s="106"/>
      <c r="I18" s="107"/>
      <c r="J18" s="26">
        <f t="shared" si="9"/>
        <v>-889</v>
      </c>
      <c r="K18" s="118"/>
      <c r="L18" s="117"/>
      <c r="M18" s="38">
        <f t="shared" si="10"/>
        <v>-889</v>
      </c>
      <c r="N18" s="106"/>
      <c r="O18" s="107"/>
      <c r="P18" s="26">
        <f t="shared" si="11"/>
        <v>-889</v>
      </c>
      <c r="Q18" s="163"/>
      <c r="R18" s="164"/>
      <c r="S18" s="38">
        <f t="shared" si="12"/>
        <v>-889</v>
      </c>
      <c r="T18" s="106"/>
      <c r="U18" s="107"/>
      <c r="V18" s="26">
        <f t="shared" si="13"/>
        <v>-889</v>
      </c>
      <c r="W18" s="101" t="s">
        <v>17</v>
      </c>
    </row>
    <row r="19" spans="1:23" ht="15" customHeight="1">
      <c r="A19" s="91"/>
      <c r="B19" s="106"/>
      <c r="C19" s="107"/>
      <c r="D19" s="26">
        <f t="shared" si="7"/>
        <v>-889</v>
      </c>
      <c r="E19" s="118"/>
      <c r="F19" s="117"/>
      <c r="G19" s="38">
        <f t="shared" si="8"/>
        <v>-889</v>
      </c>
      <c r="H19" s="106"/>
      <c r="I19" s="107"/>
      <c r="J19" s="26">
        <f t="shared" si="9"/>
        <v>-889</v>
      </c>
      <c r="K19" s="118"/>
      <c r="L19" s="117"/>
      <c r="M19" s="38">
        <f t="shared" si="10"/>
        <v>-889</v>
      </c>
      <c r="N19" s="106"/>
      <c r="O19" s="107"/>
      <c r="P19" s="26">
        <f t="shared" si="11"/>
        <v>-889</v>
      </c>
      <c r="Q19" s="163"/>
      <c r="R19" s="164"/>
      <c r="S19" s="38">
        <f t="shared" si="12"/>
        <v>-889</v>
      </c>
      <c r="T19" s="106"/>
      <c r="U19" s="107"/>
      <c r="V19" s="26">
        <f t="shared" si="13"/>
        <v>-889</v>
      </c>
      <c r="W19" s="99"/>
    </row>
    <row r="20" spans="1:23" ht="15" customHeight="1">
      <c r="A20" s="91"/>
      <c r="B20" s="106"/>
      <c r="C20" s="107"/>
      <c r="D20" s="26">
        <f t="shared" si="7"/>
        <v>-889</v>
      </c>
      <c r="E20" s="165"/>
      <c r="F20" s="117"/>
      <c r="G20" s="38">
        <f t="shared" si="8"/>
        <v>-889</v>
      </c>
      <c r="H20" s="106"/>
      <c r="I20" s="107"/>
      <c r="J20" s="26">
        <f t="shared" si="9"/>
        <v>-889</v>
      </c>
      <c r="K20" s="118"/>
      <c r="L20" s="117"/>
      <c r="M20" s="38">
        <f t="shared" si="10"/>
        <v>-889</v>
      </c>
      <c r="N20" s="106"/>
      <c r="O20" s="107"/>
      <c r="P20" s="26">
        <f t="shared" si="11"/>
        <v>-889</v>
      </c>
      <c r="Q20" s="118"/>
      <c r="R20" s="117"/>
      <c r="S20" s="38">
        <f t="shared" si="12"/>
        <v>-889</v>
      </c>
      <c r="T20" s="106"/>
      <c r="U20" s="107"/>
      <c r="V20" s="26">
        <f t="shared" si="13"/>
        <v>-889</v>
      </c>
      <c r="W20" s="100" t="s">
        <v>18</v>
      </c>
    </row>
    <row r="21" spans="1:23" ht="15" customHeight="1">
      <c r="A21" s="91"/>
      <c r="B21" s="106"/>
      <c r="C21" s="107"/>
      <c r="D21" s="26">
        <f t="shared" si="7"/>
        <v>-889</v>
      </c>
      <c r="E21" s="118"/>
      <c r="F21" s="117"/>
      <c r="G21" s="38">
        <f t="shared" si="8"/>
        <v>-889</v>
      </c>
      <c r="H21" s="106"/>
      <c r="I21" s="107"/>
      <c r="J21" s="26">
        <f t="shared" si="9"/>
        <v>-889</v>
      </c>
      <c r="K21" s="118"/>
      <c r="L21" s="117"/>
      <c r="M21" s="38">
        <f t="shared" si="10"/>
        <v>-889</v>
      </c>
      <c r="N21" s="106"/>
      <c r="O21" s="107"/>
      <c r="P21" s="26">
        <f t="shared" si="11"/>
        <v>-889</v>
      </c>
      <c r="Q21" s="118"/>
      <c r="R21" s="117"/>
      <c r="S21" s="38">
        <f t="shared" si="12"/>
        <v>-889</v>
      </c>
      <c r="T21" s="106"/>
      <c r="U21" s="107"/>
      <c r="V21" s="26">
        <f t="shared" si="13"/>
        <v>-889</v>
      </c>
      <c r="W21" s="101" t="s">
        <v>19</v>
      </c>
    </row>
    <row r="22" spans="1:23" ht="15" customHeight="1">
      <c r="A22" s="91"/>
      <c r="B22" s="166"/>
      <c r="C22" s="167"/>
      <c r="D22" s="39">
        <f t="shared" si="7"/>
        <v>-889</v>
      </c>
      <c r="E22" s="154"/>
      <c r="F22" s="128"/>
      <c r="G22" s="40">
        <f t="shared" si="8"/>
        <v>-889</v>
      </c>
      <c r="H22" s="122"/>
      <c r="I22" s="123"/>
      <c r="J22" s="39">
        <f t="shared" si="9"/>
        <v>-889</v>
      </c>
      <c r="K22" s="154"/>
      <c r="L22" s="128"/>
      <c r="M22" s="40">
        <f t="shared" si="10"/>
        <v>-889</v>
      </c>
      <c r="N22" s="122"/>
      <c r="O22" s="123"/>
      <c r="P22" s="39">
        <f t="shared" si="11"/>
        <v>-889</v>
      </c>
      <c r="Q22" s="154"/>
      <c r="R22" s="128"/>
      <c r="S22" s="40">
        <f t="shared" si="12"/>
        <v>-889</v>
      </c>
      <c r="T22" s="122"/>
      <c r="U22" s="123"/>
      <c r="V22" s="39">
        <f t="shared" si="13"/>
        <v>-889</v>
      </c>
      <c r="W22" s="99"/>
    </row>
    <row r="23" spans="1:23" ht="17.25" customHeight="1">
      <c r="A23" s="162"/>
      <c r="B23" s="77">
        <f ca="1">IFERROR(__xludf.DUMMYFUNCTION("DATE(VALUE(LEFT($B$2,4)),VALUE(MID($B$2,6,2)),VALUE(RIGHT($B$2,2)))
+ (VALUE(REGEXEXTRACT(INDIRECT(""A""&amp;ROW()+1),""\d+""))-1)*7
+ INT((COLUMN()-COLUMN($B23))/3)
"),46761)</f>
        <v>46761</v>
      </c>
      <c r="C23" s="81"/>
      <c r="D23" s="82"/>
      <c r="E23" s="77">
        <f ca="1">IFERROR(__xludf.DUMMYFUNCTION("DATE(VALUE(LEFT($B$2,4)),VALUE(MID($B$2,6,2)),VALUE(RIGHT($B$2,2)))
+ (VALUE(REGEXEXTRACT(INDIRECT(""A""&amp;ROW()+1),""\d+""))-1)*7
+ INT((COLUMN()-COLUMN($B23))/3)
"),46762)</f>
        <v>46762</v>
      </c>
      <c r="F23" s="81"/>
      <c r="G23" s="82"/>
      <c r="H23" s="77">
        <f ca="1">IFERROR(__xludf.DUMMYFUNCTION("DATE(VALUE(LEFT($B$2,4)),VALUE(MID($B$2,6,2)),VALUE(RIGHT($B$2,2)))
+ (VALUE(REGEXEXTRACT(INDIRECT(""A""&amp;ROW()+1),""\d+""))-1)*7
+ INT((COLUMN()-COLUMN($B23))/3)
"),46763)</f>
        <v>46763</v>
      </c>
      <c r="I23" s="81"/>
      <c r="J23" s="82"/>
      <c r="K23" s="77">
        <f ca="1">IFERROR(__xludf.DUMMYFUNCTION("DATE(VALUE(LEFT($B$2,4)),VALUE(MID($B$2,6,2)),VALUE(RIGHT($B$2,2)))
+ (VALUE(REGEXEXTRACT(INDIRECT(""A""&amp;ROW()+1),""\d+""))-1)*7
+ INT((COLUMN()-COLUMN($B23))/3)
"),46764)</f>
        <v>46764</v>
      </c>
      <c r="L23" s="81"/>
      <c r="M23" s="82"/>
      <c r="N23" s="77">
        <f ca="1">IFERROR(__xludf.DUMMYFUNCTION("DATE(VALUE(LEFT($B$2,4)),VALUE(MID($B$2,6,2)),VALUE(RIGHT($B$2,2)))
+ (VALUE(REGEXEXTRACT(INDIRECT(""A""&amp;ROW()+1),""\d+""))-1)*7
+ INT((COLUMN()-COLUMN($B23))/3)
"),46765)</f>
        <v>46765</v>
      </c>
      <c r="O23" s="81"/>
      <c r="P23" s="82"/>
      <c r="Q23" s="77">
        <f ca="1">IFERROR(__xludf.DUMMYFUNCTION("DATE(VALUE(LEFT($B$2,4)),VALUE(MID($B$2,6,2)),VALUE(RIGHT($B$2,2)))
+ (VALUE(REGEXEXTRACT(INDIRECT(""A""&amp;ROW()+1),""\d+""))-1)*7
+ INT((COLUMN()-COLUMN($B23))/3)
"),46766)</f>
        <v>46766</v>
      </c>
      <c r="R23" s="81"/>
      <c r="S23" s="82"/>
      <c r="T23" s="77">
        <f ca="1">IFERROR(__xludf.DUMMYFUNCTION("DATE(VALUE(LEFT($B$2,4)),VALUE(MID($B$2,6,2)),VALUE(RIGHT($B$2,2)))
+ (VALUE(REGEXEXTRACT(INDIRECT(""A""&amp;ROW()+1),""\d+""))-1)*7
+ INT((COLUMN()-COLUMN($B23))/3)
"),46767)</f>
        <v>46767</v>
      </c>
      <c r="U23" s="81"/>
      <c r="V23" s="82"/>
      <c r="W23" s="41" t="s">
        <v>20</v>
      </c>
    </row>
    <row r="24" spans="1:23" ht="15" customHeight="1">
      <c r="A24" s="14" t="s">
        <v>137</v>
      </c>
      <c r="B24" s="35" t="s">
        <v>74</v>
      </c>
      <c r="C24" s="35">
        <v>-75</v>
      </c>
      <c r="D24" s="42">
        <f>V22+C24</f>
        <v>-964</v>
      </c>
      <c r="E24" s="112"/>
      <c r="F24" s="111"/>
      <c r="G24" s="18">
        <f>D33+F24</f>
        <v>-1129</v>
      </c>
      <c r="H24" s="113"/>
      <c r="I24" s="109"/>
      <c r="J24" s="42">
        <f>G33+I24</f>
        <v>-1129</v>
      </c>
      <c r="K24" s="112"/>
      <c r="L24" s="111"/>
      <c r="M24" s="18">
        <f>J33+L24</f>
        <v>-1129</v>
      </c>
      <c r="N24" s="113"/>
      <c r="O24" s="109"/>
      <c r="P24" s="35">
        <f>M33+O24</f>
        <v>-1129</v>
      </c>
      <c r="Q24" s="112"/>
      <c r="R24" s="111"/>
      <c r="S24" s="18">
        <f>P33+F128</f>
        <v>-1129</v>
      </c>
      <c r="T24" s="113"/>
      <c r="U24" s="109"/>
      <c r="V24" s="42">
        <f>S33+U24</f>
        <v>-1129</v>
      </c>
      <c r="W24" s="43">
        <v>500</v>
      </c>
    </row>
    <row r="25" spans="1:23" ht="15" customHeight="1">
      <c r="A25" s="91"/>
      <c r="B25" s="38" t="s">
        <v>76</v>
      </c>
      <c r="C25" s="38">
        <v>-25</v>
      </c>
      <c r="D25" s="19">
        <f t="shared" ref="D25:D33" si="14">D24+C25</f>
        <v>-989</v>
      </c>
      <c r="E25" s="106"/>
      <c r="F25" s="107"/>
      <c r="G25" s="23">
        <f t="shared" ref="G25:G33" si="15">G24+F25</f>
        <v>-1129</v>
      </c>
      <c r="H25" s="118"/>
      <c r="I25" s="117"/>
      <c r="J25" s="19">
        <f t="shared" ref="J25:J33" si="16">J24+I25</f>
        <v>-1129</v>
      </c>
      <c r="K25" s="106"/>
      <c r="L25" s="107"/>
      <c r="M25" s="26">
        <f t="shared" ref="M25:M33" si="17">M24+L25</f>
        <v>-1129</v>
      </c>
      <c r="N25" s="118"/>
      <c r="O25" s="117"/>
      <c r="P25" s="38">
        <f t="shared" ref="P25:P33" si="18">P24+O25</f>
        <v>-1129</v>
      </c>
      <c r="Q25" s="106"/>
      <c r="R25" s="107"/>
      <c r="S25" s="26">
        <f t="shared" ref="S25:S33" si="19">S24+R25</f>
        <v>-1129</v>
      </c>
      <c r="T25" s="118"/>
      <c r="U25" s="117"/>
      <c r="V25" s="19">
        <f t="shared" ref="V25:V33" si="20">V24+U25</f>
        <v>-1129</v>
      </c>
      <c r="W25" s="95"/>
    </row>
    <row r="26" spans="1:23" ht="15" customHeight="1">
      <c r="A26" s="91"/>
      <c r="B26" s="38" t="s">
        <v>90</v>
      </c>
      <c r="C26" s="38">
        <v>-65</v>
      </c>
      <c r="D26" s="19">
        <f t="shared" si="14"/>
        <v>-1054</v>
      </c>
      <c r="E26" s="106"/>
      <c r="F26" s="107"/>
      <c r="G26" s="23">
        <f t="shared" si="15"/>
        <v>-1129</v>
      </c>
      <c r="H26" s="118"/>
      <c r="I26" s="117"/>
      <c r="J26" s="19">
        <f t="shared" si="16"/>
        <v>-1129</v>
      </c>
      <c r="K26" s="106"/>
      <c r="L26" s="107"/>
      <c r="M26" s="26">
        <f t="shared" si="17"/>
        <v>-1129</v>
      </c>
      <c r="N26" s="118"/>
      <c r="O26" s="117"/>
      <c r="P26" s="19">
        <f t="shared" si="18"/>
        <v>-1129</v>
      </c>
      <c r="Q26" s="106"/>
      <c r="R26" s="107"/>
      <c r="S26" s="26">
        <f t="shared" si="19"/>
        <v>-1129</v>
      </c>
      <c r="T26" s="118"/>
      <c r="U26" s="117"/>
      <c r="V26" s="19">
        <f t="shared" si="20"/>
        <v>-1129</v>
      </c>
      <c r="W26" s="95"/>
    </row>
    <row r="27" spans="1:23" ht="15" customHeight="1">
      <c r="A27" s="91"/>
      <c r="B27" s="44" t="s">
        <v>138</v>
      </c>
      <c r="C27" s="38">
        <v>-75</v>
      </c>
      <c r="D27" s="19">
        <f t="shared" si="14"/>
        <v>-1129</v>
      </c>
      <c r="E27" s="106"/>
      <c r="F27" s="107"/>
      <c r="G27" s="23">
        <f t="shared" si="15"/>
        <v>-1129</v>
      </c>
      <c r="H27" s="118"/>
      <c r="I27" s="117"/>
      <c r="J27" s="19">
        <f t="shared" si="16"/>
        <v>-1129</v>
      </c>
      <c r="K27" s="106"/>
      <c r="L27" s="107"/>
      <c r="M27" s="26">
        <f t="shared" si="17"/>
        <v>-1129</v>
      </c>
      <c r="N27" s="118"/>
      <c r="O27" s="117"/>
      <c r="P27" s="38">
        <f t="shared" si="18"/>
        <v>-1129</v>
      </c>
      <c r="Q27" s="106"/>
      <c r="R27" s="107"/>
      <c r="S27" s="26">
        <f t="shared" si="19"/>
        <v>-1129</v>
      </c>
      <c r="T27" s="118"/>
      <c r="U27" s="117"/>
      <c r="V27" s="19">
        <f t="shared" si="20"/>
        <v>-1129</v>
      </c>
      <c r="W27" s="95"/>
    </row>
    <row r="28" spans="1:23" ht="15" customHeight="1">
      <c r="A28" s="91"/>
      <c r="B28" s="117"/>
      <c r="C28" s="117"/>
      <c r="D28" s="19">
        <f t="shared" si="14"/>
        <v>-1129</v>
      </c>
      <c r="E28" s="106"/>
      <c r="F28" s="107"/>
      <c r="G28" s="23">
        <f t="shared" si="15"/>
        <v>-1129</v>
      </c>
      <c r="H28" s="118"/>
      <c r="I28" s="117"/>
      <c r="J28" s="19">
        <f t="shared" si="16"/>
        <v>-1129</v>
      </c>
      <c r="K28" s="106"/>
      <c r="L28" s="107"/>
      <c r="M28" s="26">
        <f t="shared" si="17"/>
        <v>-1129</v>
      </c>
      <c r="N28" s="118"/>
      <c r="O28" s="117"/>
      <c r="P28" s="38">
        <f t="shared" si="18"/>
        <v>-1129</v>
      </c>
      <c r="Q28" s="106"/>
      <c r="R28" s="107"/>
      <c r="S28" s="26">
        <f t="shared" si="19"/>
        <v>-1129</v>
      </c>
      <c r="T28" s="118"/>
      <c r="U28" s="117"/>
      <c r="V28" s="45">
        <f t="shared" si="20"/>
        <v>-1129</v>
      </c>
      <c r="W28" s="143"/>
    </row>
    <row r="29" spans="1:23" ht="15" customHeight="1">
      <c r="A29" s="91"/>
      <c r="B29" s="118"/>
      <c r="C29" s="117"/>
      <c r="D29" s="19">
        <f t="shared" si="14"/>
        <v>-1129</v>
      </c>
      <c r="E29" s="106"/>
      <c r="F29" s="107"/>
      <c r="G29" s="23">
        <f t="shared" si="15"/>
        <v>-1129</v>
      </c>
      <c r="H29" s="118"/>
      <c r="I29" s="117"/>
      <c r="J29" s="19">
        <f t="shared" si="16"/>
        <v>-1129</v>
      </c>
      <c r="K29" s="106"/>
      <c r="L29" s="107"/>
      <c r="M29" s="26">
        <f t="shared" si="17"/>
        <v>-1129</v>
      </c>
      <c r="N29" s="118"/>
      <c r="O29" s="117"/>
      <c r="P29" s="38">
        <f t="shared" si="18"/>
        <v>-1129</v>
      </c>
      <c r="Q29" s="106"/>
      <c r="R29" s="107"/>
      <c r="S29" s="26">
        <f t="shared" si="19"/>
        <v>-1129</v>
      </c>
      <c r="T29" s="118"/>
      <c r="U29" s="117"/>
      <c r="V29" s="45">
        <f t="shared" si="20"/>
        <v>-1129</v>
      </c>
      <c r="W29" s="143"/>
    </row>
    <row r="30" spans="1:23" ht="15" customHeight="1">
      <c r="A30" s="91"/>
      <c r="B30" s="118"/>
      <c r="C30" s="117"/>
      <c r="D30" s="19">
        <f t="shared" si="14"/>
        <v>-1129</v>
      </c>
      <c r="E30" s="112"/>
      <c r="F30" s="107"/>
      <c r="G30" s="23">
        <f t="shared" si="15"/>
        <v>-1129</v>
      </c>
      <c r="H30" s="118"/>
      <c r="I30" s="117"/>
      <c r="J30" s="19">
        <f t="shared" si="16"/>
        <v>-1129</v>
      </c>
      <c r="K30" s="106"/>
      <c r="L30" s="107"/>
      <c r="M30" s="26">
        <f t="shared" si="17"/>
        <v>-1129</v>
      </c>
      <c r="N30" s="118"/>
      <c r="O30" s="117"/>
      <c r="P30" s="38">
        <f t="shared" si="18"/>
        <v>-1129</v>
      </c>
      <c r="Q30" s="106"/>
      <c r="R30" s="107"/>
      <c r="S30" s="26">
        <f t="shared" si="19"/>
        <v>-1129</v>
      </c>
      <c r="T30" s="118"/>
      <c r="U30" s="117"/>
      <c r="V30" s="45">
        <f t="shared" si="20"/>
        <v>-1129</v>
      </c>
      <c r="W30" s="143"/>
    </row>
    <row r="31" spans="1:23" ht="15" customHeight="1">
      <c r="A31" s="91"/>
      <c r="B31" s="118"/>
      <c r="C31" s="117"/>
      <c r="D31" s="19">
        <f t="shared" si="14"/>
        <v>-1129</v>
      </c>
      <c r="E31" s="112"/>
      <c r="F31" s="107"/>
      <c r="G31" s="23">
        <f t="shared" si="15"/>
        <v>-1129</v>
      </c>
      <c r="H31" s="118"/>
      <c r="I31" s="117"/>
      <c r="J31" s="19">
        <f t="shared" si="16"/>
        <v>-1129</v>
      </c>
      <c r="K31" s="106"/>
      <c r="L31" s="107"/>
      <c r="M31" s="26">
        <f t="shared" si="17"/>
        <v>-1129</v>
      </c>
      <c r="N31" s="118"/>
      <c r="O31" s="117"/>
      <c r="P31" s="38">
        <f t="shared" si="18"/>
        <v>-1129</v>
      </c>
      <c r="Q31" s="106"/>
      <c r="R31" s="107"/>
      <c r="S31" s="26">
        <f t="shared" si="19"/>
        <v>-1129</v>
      </c>
      <c r="T31" s="118"/>
      <c r="U31" s="117"/>
      <c r="V31" s="45">
        <f t="shared" si="20"/>
        <v>-1129</v>
      </c>
      <c r="W31" s="143"/>
    </row>
    <row r="32" spans="1:23" ht="15" customHeight="1">
      <c r="A32" s="91"/>
      <c r="B32" s="118"/>
      <c r="C32" s="117"/>
      <c r="D32" s="19">
        <f t="shared" si="14"/>
        <v>-1129</v>
      </c>
      <c r="E32" s="112"/>
      <c r="F32" s="107"/>
      <c r="G32" s="23">
        <f t="shared" si="15"/>
        <v>-1129</v>
      </c>
      <c r="H32" s="118"/>
      <c r="I32" s="117"/>
      <c r="J32" s="19">
        <f t="shared" si="16"/>
        <v>-1129</v>
      </c>
      <c r="K32" s="106"/>
      <c r="L32" s="107"/>
      <c r="M32" s="26">
        <f t="shared" si="17"/>
        <v>-1129</v>
      </c>
      <c r="N32" s="118"/>
      <c r="O32" s="117"/>
      <c r="P32" s="38">
        <f t="shared" si="18"/>
        <v>-1129</v>
      </c>
      <c r="Q32" s="106"/>
      <c r="R32" s="107"/>
      <c r="S32" s="26">
        <f t="shared" si="19"/>
        <v>-1129</v>
      </c>
      <c r="T32" s="118"/>
      <c r="U32" s="117"/>
      <c r="V32" s="45">
        <f t="shared" si="20"/>
        <v>-1129</v>
      </c>
      <c r="W32" s="143"/>
    </row>
    <row r="33" spans="1:23" ht="15" customHeight="1">
      <c r="A33" s="91"/>
      <c r="B33" s="154"/>
      <c r="C33" s="128"/>
      <c r="D33" s="29">
        <f t="shared" si="14"/>
        <v>-1129</v>
      </c>
      <c r="E33" s="122"/>
      <c r="F33" s="123"/>
      <c r="G33" s="31">
        <f t="shared" si="15"/>
        <v>-1129</v>
      </c>
      <c r="H33" s="154"/>
      <c r="I33" s="128"/>
      <c r="J33" s="29">
        <f t="shared" si="16"/>
        <v>-1129</v>
      </c>
      <c r="K33" s="122"/>
      <c r="L33" s="123"/>
      <c r="M33" s="39">
        <f t="shared" si="17"/>
        <v>-1129</v>
      </c>
      <c r="N33" s="154"/>
      <c r="O33" s="128"/>
      <c r="P33" s="40">
        <f t="shared" si="18"/>
        <v>-1129</v>
      </c>
      <c r="Q33" s="122"/>
      <c r="R33" s="123"/>
      <c r="S33" s="39">
        <f t="shared" si="19"/>
        <v>-1129</v>
      </c>
      <c r="T33" s="154"/>
      <c r="U33" s="128"/>
      <c r="V33" s="46">
        <f t="shared" si="20"/>
        <v>-1129</v>
      </c>
      <c r="W33" s="143"/>
    </row>
    <row r="34" spans="1:23" ht="17.25" customHeight="1">
      <c r="A34" s="162"/>
      <c r="B34" s="77">
        <f ca="1">IFERROR(__xludf.DUMMYFUNCTION("DATE(VALUE(LEFT($B$2,4)),VALUE(MID($B$2,6,2)),VALUE(RIGHT($B$2,2)))
+ (VALUE(REGEXEXTRACT(INDIRECT(""A""&amp;ROW()+1),""\d+""))-1)*7
+ INT((COLUMN()-COLUMN($B34))/3)
"),46768)</f>
        <v>46768</v>
      </c>
      <c r="C34" s="81"/>
      <c r="D34" s="82"/>
      <c r="E34" s="77">
        <f ca="1">IFERROR(__xludf.DUMMYFUNCTION("DATE(VALUE(LEFT($B$2,4)),VALUE(MID($B$2,6,2)),VALUE(RIGHT($B$2,2)))
+ (VALUE(REGEXEXTRACT(INDIRECT(""A""&amp;ROW()+1),""\d+""))-1)*7
+ INT((COLUMN()-COLUMN($B34))/3)
"),46769)</f>
        <v>46769</v>
      </c>
      <c r="F34" s="81"/>
      <c r="G34" s="82"/>
      <c r="H34" s="77">
        <f ca="1">IFERROR(__xludf.DUMMYFUNCTION("DATE(VALUE(LEFT($B$2,4)),VALUE(MID($B$2,6,2)),VALUE(RIGHT($B$2,2)))
+ (VALUE(REGEXEXTRACT(INDIRECT(""A""&amp;ROW()+1),""\d+""))-1)*7
+ INT((COLUMN()-COLUMN($B34))/3)
"),46770)</f>
        <v>46770</v>
      </c>
      <c r="I34" s="81"/>
      <c r="J34" s="82"/>
      <c r="K34" s="77">
        <f ca="1">IFERROR(__xludf.DUMMYFUNCTION("DATE(VALUE(LEFT($B$2,4)),VALUE(MID($B$2,6,2)),VALUE(RIGHT($B$2,2)))
+ (VALUE(REGEXEXTRACT(INDIRECT(""A""&amp;ROW()+1),""\d+""))-1)*7
+ INT((COLUMN()-COLUMN($B34))/3)
"),46771)</f>
        <v>46771</v>
      </c>
      <c r="L34" s="81"/>
      <c r="M34" s="82"/>
      <c r="N34" s="77">
        <f ca="1">IFERROR(__xludf.DUMMYFUNCTION("DATE(VALUE(LEFT($B$2,4)),VALUE(MID($B$2,6,2)),VALUE(RIGHT($B$2,2)))
+ (VALUE(REGEXEXTRACT(INDIRECT(""A""&amp;ROW()+1),""\d+""))-1)*7
+ INT((COLUMN()-COLUMN($B34))/3)
"),46772)</f>
        <v>46772</v>
      </c>
      <c r="O34" s="81"/>
      <c r="P34" s="82"/>
      <c r="Q34" s="77">
        <f ca="1">IFERROR(__xludf.DUMMYFUNCTION("DATE(VALUE(LEFT($B$2,4)),VALUE(MID($B$2,6,2)),VALUE(RIGHT($B$2,2)))
+ (VALUE(REGEXEXTRACT(INDIRECT(""A""&amp;ROW()+1),""\d+""))-1)*7
+ INT((COLUMN()-COLUMN($B34))/3)
"),46773)</f>
        <v>46773</v>
      </c>
      <c r="R34" s="81"/>
      <c r="S34" s="82"/>
      <c r="T34" s="77">
        <f ca="1">IFERROR(__xludf.DUMMYFUNCTION("DATE(VALUE(LEFT($B$2,4)),VALUE(MID($B$2,6,2)),VALUE(RIGHT($B$2,2)))
+ (VALUE(REGEXEXTRACT(INDIRECT(""A""&amp;ROW()+1),""\d+""))-1)*7
+ INT((COLUMN()-COLUMN($B34))/3)
"),46774)</f>
        <v>46774</v>
      </c>
      <c r="U34" s="81"/>
      <c r="V34" s="82"/>
      <c r="W34" s="143"/>
    </row>
    <row r="35" spans="1:23" ht="15" customHeight="1">
      <c r="A35" s="47" t="s">
        <v>139</v>
      </c>
      <c r="B35" s="34" t="s">
        <v>74</v>
      </c>
      <c r="C35" s="18">
        <v>-75</v>
      </c>
      <c r="D35" s="17">
        <f>V33+C35</f>
        <v>-1204</v>
      </c>
      <c r="E35" s="113"/>
      <c r="F35" s="109"/>
      <c r="G35" s="42">
        <f>D44+F35</f>
        <v>-1294</v>
      </c>
      <c r="H35" s="112"/>
      <c r="I35" s="111"/>
      <c r="J35" s="17">
        <f>G44+I35</f>
        <v>-1294</v>
      </c>
      <c r="K35" s="113"/>
      <c r="L35" s="109"/>
      <c r="M35" s="35">
        <f>J44+L35</f>
        <v>-1294</v>
      </c>
      <c r="N35" s="112"/>
      <c r="O35" s="111"/>
      <c r="P35" s="17">
        <f>M44+O35</f>
        <v>-1294</v>
      </c>
      <c r="Q35" s="113"/>
      <c r="R35" s="109"/>
      <c r="S35" s="35">
        <f>P44+R35</f>
        <v>-1294</v>
      </c>
      <c r="T35" s="112"/>
      <c r="U35" s="111"/>
      <c r="V35" s="48">
        <f>S44+U35</f>
        <v>-1294</v>
      </c>
      <c r="W35" s="143"/>
    </row>
    <row r="36" spans="1:23" ht="15" customHeight="1">
      <c r="A36" s="114"/>
      <c r="B36" s="37" t="s">
        <v>76</v>
      </c>
      <c r="C36" s="23">
        <v>-25</v>
      </c>
      <c r="D36" s="26">
        <f t="shared" ref="D36:D44" si="21">D35+C36</f>
        <v>-1229</v>
      </c>
      <c r="E36" s="118"/>
      <c r="F36" s="117"/>
      <c r="G36" s="19">
        <f t="shared" ref="G36:G44" si="22">G35+F36</f>
        <v>-1294</v>
      </c>
      <c r="H36" s="106"/>
      <c r="I36" s="107"/>
      <c r="J36" s="26">
        <f t="shared" ref="J36:J44" si="23">J35+I36</f>
        <v>-1294</v>
      </c>
      <c r="K36" s="118"/>
      <c r="L36" s="117"/>
      <c r="M36" s="38">
        <f t="shared" ref="M36:M44" si="24">M35+L36</f>
        <v>-1294</v>
      </c>
      <c r="N36" s="106"/>
      <c r="O36" s="107"/>
      <c r="P36" s="26">
        <f t="shared" ref="P36:P44" si="25">P35+O36</f>
        <v>-1294</v>
      </c>
      <c r="Q36" s="118"/>
      <c r="R36" s="117"/>
      <c r="S36" s="38">
        <f t="shared" ref="S36:S44" si="26">S35+R36</f>
        <v>-1294</v>
      </c>
      <c r="T36" s="106"/>
      <c r="U36" s="107"/>
      <c r="V36" s="20">
        <f t="shared" ref="V36:V44" si="27">V35+U36</f>
        <v>-1294</v>
      </c>
      <c r="W36" s="143"/>
    </row>
    <row r="37" spans="1:23" ht="15" customHeight="1">
      <c r="A37" s="114"/>
      <c r="B37" s="37" t="s">
        <v>79</v>
      </c>
      <c r="C37" s="23">
        <v>-65</v>
      </c>
      <c r="D37" s="26">
        <f t="shared" si="21"/>
        <v>-1294</v>
      </c>
      <c r="E37" s="118"/>
      <c r="F37" s="117"/>
      <c r="G37" s="19">
        <f t="shared" si="22"/>
        <v>-1294</v>
      </c>
      <c r="H37" s="106"/>
      <c r="I37" s="107"/>
      <c r="J37" s="26">
        <f t="shared" si="23"/>
        <v>-1294</v>
      </c>
      <c r="K37" s="117"/>
      <c r="L37" s="117"/>
      <c r="M37" s="38">
        <f t="shared" si="24"/>
        <v>-1294</v>
      </c>
      <c r="N37" s="106"/>
      <c r="O37" s="107"/>
      <c r="P37" s="26">
        <f t="shared" si="25"/>
        <v>-1294</v>
      </c>
      <c r="Q37" s="118"/>
      <c r="R37" s="117"/>
      <c r="S37" s="38">
        <f t="shared" si="26"/>
        <v>-1294</v>
      </c>
      <c r="T37" s="106"/>
      <c r="U37" s="107"/>
      <c r="V37" s="20">
        <f t="shared" si="27"/>
        <v>-1294</v>
      </c>
      <c r="W37" s="143"/>
    </row>
    <row r="38" spans="1:23" ht="15" customHeight="1">
      <c r="A38" s="114"/>
      <c r="B38" s="106"/>
      <c r="C38" s="107"/>
      <c r="D38" s="26">
        <f t="shared" si="21"/>
        <v>-1294</v>
      </c>
      <c r="E38" s="118"/>
      <c r="F38" s="117"/>
      <c r="G38" s="19">
        <f t="shared" si="22"/>
        <v>-1294</v>
      </c>
      <c r="H38" s="106"/>
      <c r="I38" s="107"/>
      <c r="J38" s="26">
        <f t="shared" si="23"/>
        <v>-1294</v>
      </c>
      <c r="K38" s="117"/>
      <c r="L38" s="117"/>
      <c r="M38" s="38">
        <f t="shared" si="24"/>
        <v>-1294</v>
      </c>
      <c r="N38" s="106"/>
      <c r="O38" s="107"/>
      <c r="P38" s="26">
        <f t="shared" si="25"/>
        <v>-1294</v>
      </c>
      <c r="Q38" s="118"/>
      <c r="R38" s="117"/>
      <c r="S38" s="38">
        <f t="shared" si="26"/>
        <v>-1294</v>
      </c>
      <c r="T38" s="106"/>
      <c r="U38" s="107"/>
      <c r="V38" s="20">
        <f t="shared" si="27"/>
        <v>-1294</v>
      </c>
      <c r="W38" s="143"/>
    </row>
    <row r="39" spans="1:23" ht="15" customHeight="1">
      <c r="A39" s="114"/>
      <c r="B39" s="106"/>
      <c r="C39" s="107"/>
      <c r="D39" s="26">
        <f t="shared" si="21"/>
        <v>-1294</v>
      </c>
      <c r="E39" s="118"/>
      <c r="F39" s="117"/>
      <c r="G39" s="19">
        <f t="shared" si="22"/>
        <v>-1294</v>
      </c>
      <c r="H39" s="106"/>
      <c r="I39" s="107"/>
      <c r="J39" s="26">
        <f t="shared" si="23"/>
        <v>-1294</v>
      </c>
      <c r="K39" s="117"/>
      <c r="L39" s="117"/>
      <c r="M39" s="38">
        <f t="shared" si="24"/>
        <v>-1294</v>
      </c>
      <c r="N39" s="106"/>
      <c r="O39" s="107"/>
      <c r="P39" s="26">
        <f t="shared" si="25"/>
        <v>-1294</v>
      </c>
      <c r="Q39" s="118"/>
      <c r="R39" s="117"/>
      <c r="S39" s="38">
        <f t="shared" si="26"/>
        <v>-1294</v>
      </c>
      <c r="T39" s="106"/>
      <c r="U39" s="107"/>
      <c r="V39" s="20">
        <f t="shared" si="27"/>
        <v>-1294</v>
      </c>
      <c r="W39" s="143"/>
    </row>
    <row r="40" spans="1:23" ht="15" customHeight="1">
      <c r="A40" s="114"/>
      <c r="B40" s="106"/>
      <c r="C40" s="107"/>
      <c r="D40" s="26">
        <f t="shared" si="21"/>
        <v>-1294</v>
      </c>
      <c r="E40" s="118"/>
      <c r="F40" s="117"/>
      <c r="G40" s="19">
        <f t="shared" si="22"/>
        <v>-1294</v>
      </c>
      <c r="H40" s="116"/>
      <c r="I40" s="107"/>
      <c r="J40" s="26">
        <f t="shared" si="23"/>
        <v>-1294</v>
      </c>
      <c r="K40" s="117"/>
      <c r="L40" s="117"/>
      <c r="M40" s="38">
        <f t="shared" si="24"/>
        <v>-1294</v>
      </c>
      <c r="N40" s="106"/>
      <c r="O40" s="107"/>
      <c r="P40" s="26">
        <f t="shared" si="25"/>
        <v>-1294</v>
      </c>
      <c r="Q40" s="118"/>
      <c r="R40" s="117"/>
      <c r="S40" s="38">
        <f t="shared" si="26"/>
        <v>-1294</v>
      </c>
      <c r="T40" s="106"/>
      <c r="U40" s="107"/>
      <c r="V40" s="20">
        <f t="shared" si="27"/>
        <v>-1294</v>
      </c>
      <c r="W40" s="143"/>
    </row>
    <row r="41" spans="1:23" ht="15" customHeight="1">
      <c r="A41" s="114"/>
      <c r="B41" s="106"/>
      <c r="C41" s="107"/>
      <c r="D41" s="26">
        <f t="shared" si="21"/>
        <v>-1294</v>
      </c>
      <c r="E41" s="118"/>
      <c r="F41" s="117"/>
      <c r="G41" s="19">
        <f t="shared" si="22"/>
        <v>-1294</v>
      </c>
      <c r="H41" s="106"/>
      <c r="I41" s="107"/>
      <c r="J41" s="26">
        <f t="shared" si="23"/>
        <v>-1294</v>
      </c>
      <c r="K41" s="117"/>
      <c r="L41" s="117"/>
      <c r="M41" s="38">
        <f t="shared" si="24"/>
        <v>-1294</v>
      </c>
      <c r="N41" s="106"/>
      <c r="O41" s="107"/>
      <c r="P41" s="26">
        <f t="shared" si="25"/>
        <v>-1294</v>
      </c>
      <c r="Q41" s="118"/>
      <c r="R41" s="117"/>
      <c r="S41" s="38">
        <f t="shared" si="26"/>
        <v>-1294</v>
      </c>
      <c r="T41" s="106"/>
      <c r="U41" s="107"/>
      <c r="V41" s="20">
        <f t="shared" si="27"/>
        <v>-1294</v>
      </c>
      <c r="W41" s="143"/>
    </row>
    <row r="42" spans="1:23" ht="15" customHeight="1">
      <c r="A42" s="114"/>
      <c r="B42" s="106"/>
      <c r="C42" s="107"/>
      <c r="D42" s="26">
        <f t="shared" si="21"/>
        <v>-1294</v>
      </c>
      <c r="E42" s="118"/>
      <c r="F42" s="117"/>
      <c r="G42" s="19">
        <f t="shared" si="22"/>
        <v>-1294</v>
      </c>
      <c r="H42" s="106"/>
      <c r="I42" s="107"/>
      <c r="J42" s="26">
        <f t="shared" si="23"/>
        <v>-1294</v>
      </c>
      <c r="K42" s="117"/>
      <c r="L42" s="117"/>
      <c r="M42" s="38">
        <f t="shared" si="24"/>
        <v>-1294</v>
      </c>
      <c r="N42" s="106"/>
      <c r="O42" s="107"/>
      <c r="P42" s="26">
        <f t="shared" si="25"/>
        <v>-1294</v>
      </c>
      <c r="Q42" s="118"/>
      <c r="R42" s="117"/>
      <c r="S42" s="38">
        <f t="shared" si="26"/>
        <v>-1294</v>
      </c>
      <c r="T42" s="106"/>
      <c r="U42" s="107"/>
      <c r="V42" s="20">
        <f t="shared" si="27"/>
        <v>-1294</v>
      </c>
      <c r="W42" s="143"/>
    </row>
    <row r="43" spans="1:23" ht="15" customHeight="1">
      <c r="A43" s="114"/>
      <c r="B43" s="106"/>
      <c r="C43" s="107"/>
      <c r="D43" s="26">
        <f t="shared" si="21"/>
        <v>-1294</v>
      </c>
      <c r="E43" s="118"/>
      <c r="F43" s="117"/>
      <c r="G43" s="19">
        <f t="shared" si="22"/>
        <v>-1294</v>
      </c>
      <c r="H43" s="106"/>
      <c r="I43" s="107"/>
      <c r="J43" s="26">
        <f t="shared" si="23"/>
        <v>-1294</v>
      </c>
      <c r="K43" s="117"/>
      <c r="L43" s="117"/>
      <c r="M43" s="38">
        <f t="shared" si="24"/>
        <v>-1294</v>
      </c>
      <c r="N43" s="106"/>
      <c r="O43" s="107"/>
      <c r="P43" s="26">
        <f t="shared" si="25"/>
        <v>-1294</v>
      </c>
      <c r="Q43" s="118"/>
      <c r="R43" s="117"/>
      <c r="S43" s="38">
        <f t="shared" si="26"/>
        <v>-1294</v>
      </c>
      <c r="T43" s="106"/>
      <c r="U43" s="107"/>
      <c r="V43" s="20">
        <f t="shared" si="27"/>
        <v>-1294</v>
      </c>
      <c r="W43" s="143"/>
    </row>
    <row r="44" spans="1:23" ht="15" customHeight="1">
      <c r="A44" s="114"/>
      <c r="B44" s="122"/>
      <c r="C44" s="123"/>
      <c r="D44" s="39">
        <f t="shared" si="21"/>
        <v>-1294</v>
      </c>
      <c r="E44" s="154"/>
      <c r="F44" s="128"/>
      <c r="G44" s="29">
        <f t="shared" si="22"/>
        <v>-1294</v>
      </c>
      <c r="H44" s="122"/>
      <c r="I44" s="123"/>
      <c r="J44" s="39">
        <f t="shared" si="23"/>
        <v>-1294</v>
      </c>
      <c r="K44" s="154"/>
      <c r="L44" s="128"/>
      <c r="M44" s="40">
        <f t="shared" si="24"/>
        <v>-1294</v>
      </c>
      <c r="N44" s="122"/>
      <c r="O44" s="123"/>
      <c r="P44" s="39">
        <f t="shared" si="25"/>
        <v>-1294</v>
      </c>
      <c r="Q44" s="154"/>
      <c r="R44" s="128"/>
      <c r="S44" s="40">
        <f t="shared" si="26"/>
        <v>-1294</v>
      </c>
      <c r="T44" s="122"/>
      <c r="U44" s="123"/>
      <c r="V44" s="49">
        <f t="shared" si="27"/>
        <v>-1294</v>
      </c>
      <c r="W44" s="143"/>
    </row>
    <row r="45" spans="1:23" ht="17.25" customHeight="1">
      <c r="A45" s="87"/>
      <c r="B45" s="77">
        <f ca="1">IFERROR(__xludf.DUMMYFUNCTION("DATE(VALUE(LEFT($B$2,4)),VALUE(MID($B$2,6,2)),VALUE(RIGHT($B$2,2)))
+ (VALUE(REGEXEXTRACT(INDIRECT(""A""&amp;ROW()+1),""\d+""))-1)*7
+ INT((COLUMN()-COLUMN($B45))/3)
"),46775)</f>
        <v>46775</v>
      </c>
      <c r="C45" s="81"/>
      <c r="D45" s="82"/>
      <c r="E45" s="77">
        <f ca="1">IFERROR(__xludf.DUMMYFUNCTION("DATE(VALUE(LEFT($B$2,4)),VALUE(MID($B$2,6,2)),VALUE(RIGHT($B$2,2)))
+ (VALUE(REGEXEXTRACT(INDIRECT(""A""&amp;ROW()+1),""\d+""))-1)*7
+ INT((COLUMN()-COLUMN($B45))/3)
"),46776)</f>
        <v>46776</v>
      </c>
      <c r="F45" s="81"/>
      <c r="G45" s="82"/>
      <c r="H45" s="77">
        <f ca="1">IFERROR(__xludf.DUMMYFUNCTION("DATE(VALUE(LEFT($B$2,4)),VALUE(MID($B$2,6,2)),VALUE(RIGHT($B$2,2)))
+ (VALUE(REGEXEXTRACT(INDIRECT(""A""&amp;ROW()+1),""\d+""))-1)*7
+ INT((COLUMN()-COLUMN($B45))/3)
"),46777)</f>
        <v>46777</v>
      </c>
      <c r="I45" s="81"/>
      <c r="J45" s="82"/>
      <c r="K45" s="77">
        <f ca="1">IFERROR(__xludf.DUMMYFUNCTION("DATE(VALUE(LEFT($B$2,4)),VALUE(MID($B$2,6,2)),VALUE(RIGHT($B$2,2)))
+ (VALUE(REGEXEXTRACT(INDIRECT(""A""&amp;ROW()+1),""\d+""))-1)*7
+ INT((COLUMN()-COLUMN($B45))/3)
"),46778)</f>
        <v>46778</v>
      </c>
      <c r="L45" s="81"/>
      <c r="M45" s="82"/>
      <c r="N45" s="77">
        <f ca="1">IFERROR(__xludf.DUMMYFUNCTION("DATE(VALUE(LEFT($B$2,4)),VALUE(MID($B$2,6,2)),VALUE(RIGHT($B$2,2)))
+ (VALUE(REGEXEXTRACT(INDIRECT(""A""&amp;ROW()+1),""\d+""))-1)*7
+ INT((COLUMN()-COLUMN($B45))/3)
"),46779)</f>
        <v>46779</v>
      </c>
      <c r="O45" s="81"/>
      <c r="P45" s="82"/>
      <c r="Q45" s="77">
        <f ca="1">IFERROR(__xludf.DUMMYFUNCTION("DATE(VALUE(LEFT($B$2,4)),VALUE(MID($B$2,6,2)),VALUE(RIGHT($B$2,2)))
+ (VALUE(REGEXEXTRACT(INDIRECT(""A""&amp;ROW()+1),""\d+""))-1)*7
+ INT((COLUMN()-COLUMN($B45))/3)
"),46780)</f>
        <v>46780</v>
      </c>
      <c r="R45" s="81"/>
      <c r="S45" s="82"/>
      <c r="T45" s="77">
        <f ca="1">IFERROR(__xludf.DUMMYFUNCTION("DATE(VALUE(LEFT($B$2,4)),VALUE(MID($B$2,6,2)),VALUE(RIGHT($B$2,2)))
+ (VALUE(REGEXEXTRACT(INDIRECT(""A""&amp;ROW()+1),""\d+""))-1)*7
+ INT((COLUMN()-COLUMN($B45))/3)
"),46781)</f>
        <v>46781</v>
      </c>
      <c r="U45" s="81"/>
      <c r="V45" s="82"/>
      <c r="W45" s="41" t="s">
        <v>20</v>
      </c>
    </row>
    <row r="46" spans="1:23" ht="15" customHeight="1">
      <c r="A46" s="47" t="s">
        <v>140</v>
      </c>
      <c r="B46" s="35" t="s">
        <v>74</v>
      </c>
      <c r="C46" s="35">
        <v>-75</v>
      </c>
      <c r="D46" s="42">
        <f>V44+C46</f>
        <v>-1369</v>
      </c>
      <c r="E46" s="112"/>
      <c r="F46" s="168"/>
      <c r="G46" s="18">
        <f>D56+F46</f>
        <v>-1459</v>
      </c>
      <c r="H46" s="113"/>
      <c r="I46" s="132"/>
      <c r="J46" s="42">
        <f>G56+I46</f>
        <v>-1459</v>
      </c>
      <c r="K46" s="112"/>
      <c r="L46" s="111"/>
      <c r="M46" s="48">
        <f>J56+L46</f>
        <v>-1459</v>
      </c>
      <c r="N46" s="149"/>
      <c r="O46" s="109"/>
      <c r="P46" s="35">
        <f>M56+O46</f>
        <v>-1459</v>
      </c>
      <c r="Q46" s="112"/>
      <c r="R46" s="111"/>
      <c r="S46" s="18">
        <f>P56+R46</f>
        <v>-1459</v>
      </c>
      <c r="T46" s="113"/>
      <c r="U46" s="109"/>
      <c r="V46" s="50">
        <f>S56+U46</f>
        <v>-1459</v>
      </c>
      <c r="W46" s="169"/>
    </row>
    <row r="47" spans="1:23" ht="15" customHeight="1">
      <c r="A47" s="114"/>
      <c r="B47" s="38" t="s">
        <v>76</v>
      </c>
      <c r="C47" s="38">
        <v>-25</v>
      </c>
      <c r="D47" s="19">
        <f t="shared" ref="D47:D56" si="28">D46+C47</f>
        <v>-1394</v>
      </c>
      <c r="E47" s="106"/>
      <c r="F47" s="170"/>
      <c r="G47" s="26">
        <f t="shared" ref="G47:G56" si="29">G46+F47</f>
        <v>-1459</v>
      </c>
      <c r="H47" s="118"/>
      <c r="I47" s="133"/>
      <c r="J47" s="19">
        <f t="shared" ref="J47:J56" si="30">J46+I47</f>
        <v>-1459</v>
      </c>
      <c r="K47" s="106"/>
      <c r="L47" s="107"/>
      <c r="M47" s="26">
        <f t="shared" ref="M47:M56" si="31">M46+L47</f>
        <v>-1459</v>
      </c>
      <c r="N47" s="117"/>
      <c r="O47" s="117"/>
      <c r="P47" s="38">
        <f t="shared" ref="P47:P56" si="32">P46+O47</f>
        <v>-1459</v>
      </c>
      <c r="Q47" s="106"/>
      <c r="R47" s="107"/>
      <c r="S47" s="26">
        <f t="shared" ref="S47:S56" si="33">S46+R47</f>
        <v>-1459</v>
      </c>
      <c r="T47" s="136"/>
      <c r="U47" s="136"/>
      <c r="V47" s="45">
        <f t="shared" ref="V47:V56" si="34">V46+U47</f>
        <v>-1459</v>
      </c>
      <c r="W47" s="143"/>
    </row>
    <row r="48" spans="1:23" ht="15" customHeight="1">
      <c r="A48" s="114"/>
      <c r="B48" s="38" t="s">
        <v>90</v>
      </c>
      <c r="C48" s="38">
        <v>-65</v>
      </c>
      <c r="D48" s="19">
        <f t="shared" si="28"/>
        <v>-1459</v>
      </c>
      <c r="E48" s="106"/>
      <c r="F48" s="170"/>
      <c r="G48" s="26">
        <f t="shared" si="29"/>
        <v>-1459</v>
      </c>
      <c r="H48" s="118"/>
      <c r="I48" s="133"/>
      <c r="J48" s="19">
        <f t="shared" si="30"/>
        <v>-1459</v>
      </c>
      <c r="K48" s="106"/>
      <c r="L48" s="107"/>
      <c r="M48" s="26">
        <f t="shared" si="31"/>
        <v>-1459</v>
      </c>
      <c r="N48" s="117"/>
      <c r="O48" s="117"/>
      <c r="P48" s="38">
        <f t="shared" si="32"/>
        <v>-1459</v>
      </c>
      <c r="Q48" s="106"/>
      <c r="R48" s="107"/>
      <c r="S48" s="26">
        <f t="shared" si="33"/>
        <v>-1459</v>
      </c>
      <c r="T48" s="136"/>
      <c r="U48" s="136"/>
      <c r="V48" s="45">
        <f t="shared" si="34"/>
        <v>-1459</v>
      </c>
      <c r="W48" s="143"/>
    </row>
    <row r="49" spans="1:23" ht="15" customHeight="1">
      <c r="A49" s="114"/>
      <c r="B49" s="117"/>
      <c r="C49" s="117"/>
      <c r="D49" s="19">
        <f t="shared" si="28"/>
        <v>-1459</v>
      </c>
      <c r="E49" s="106"/>
      <c r="F49" s="170"/>
      <c r="G49" s="26">
        <f t="shared" si="29"/>
        <v>-1459</v>
      </c>
      <c r="H49" s="118"/>
      <c r="I49" s="133"/>
      <c r="J49" s="19">
        <f t="shared" si="30"/>
        <v>-1459</v>
      </c>
      <c r="K49" s="106"/>
      <c r="L49" s="107"/>
      <c r="M49" s="26">
        <f t="shared" si="31"/>
        <v>-1459</v>
      </c>
      <c r="N49" s="117"/>
      <c r="O49" s="117"/>
      <c r="P49" s="19">
        <f t="shared" si="32"/>
        <v>-1459</v>
      </c>
      <c r="Q49" s="106"/>
      <c r="R49" s="107"/>
      <c r="S49" s="26">
        <f t="shared" si="33"/>
        <v>-1459</v>
      </c>
      <c r="T49" s="136"/>
      <c r="U49" s="136"/>
      <c r="V49" s="45">
        <f t="shared" si="34"/>
        <v>-1459</v>
      </c>
      <c r="W49" s="143"/>
    </row>
    <row r="50" spans="1:23" ht="15" customHeight="1">
      <c r="A50" s="114"/>
      <c r="B50" s="117"/>
      <c r="C50" s="117"/>
      <c r="D50" s="19">
        <f t="shared" si="28"/>
        <v>-1459</v>
      </c>
      <c r="E50" s="106"/>
      <c r="F50" s="170"/>
      <c r="G50" s="26">
        <f t="shared" si="29"/>
        <v>-1459</v>
      </c>
      <c r="H50" s="118"/>
      <c r="I50" s="133"/>
      <c r="J50" s="19">
        <f t="shared" si="30"/>
        <v>-1459</v>
      </c>
      <c r="K50" s="106"/>
      <c r="L50" s="107"/>
      <c r="M50" s="26">
        <f t="shared" si="31"/>
        <v>-1459</v>
      </c>
      <c r="N50" s="117"/>
      <c r="O50" s="117"/>
      <c r="P50" s="19">
        <f t="shared" si="32"/>
        <v>-1459</v>
      </c>
      <c r="Q50" s="106"/>
      <c r="R50" s="107"/>
      <c r="S50" s="26">
        <f t="shared" si="33"/>
        <v>-1459</v>
      </c>
      <c r="T50" s="136"/>
      <c r="U50" s="136"/>
      <c r="V50" s="45">
        <f t="shared" si="34"/>
        <v>-1459</v>
      </c>
      <c r="W50" s="143"/>
    </row>
    <row r="51" spans="1:23" ht="15" customHeight="1">
      <c r="A51" s="114"/>
      <c r="B51" s="118"/>
      <c r="C51" s="117"/>
      <c r="D51" s="19">
        <f t="shared" si="28"/>
        <v>-1459</v>
      </c>
      <c r="E51" s="106"/>
      <c r="F51" s="170"/>
      <c r="G51" s="26">
        <f t="shared" si="29"/>
        <v>-1459</v>
      </c>
      <c r="H51" s="118"/>
      <c r="I51" s="133"/>
      <c r="J51" s="19">
        <f t="shared" si="30"/>
        <v>-1459</v>
      </c>
      <c r="K51" s="106"/>
      <c r="L51" s="107"/>
      <c r="M51" s="26">
        <f t="shared" si="31"/>
        <v>-1459</v>
      </c>
      <c r="N51" s="117"/>
      <c r="O51" s="117"/>
      <c r="P51" s="19">
        <f t="shared" si="32"/>
        <v>-1459</v>
      </c>
      <c r="Q51" s="106"/>
      <c r="R51" s="107"/>
      <c r="S51" s="26">
        <f t="shared" si="33"/>
        <v>-1459</v>
      </c>
      <c r="T51" s="136"/>
      <c r="U51" s="136"/>
      <c r="V51" s="45">
        <f t="shared" si="34"/>
        <v>-1459</v>
      </c>
      <c r="W51" s="143"/>
    </row>
    <row r="52" spans="1:23" ht="15" customHeight="1">
      <c r="A52" s="114"/>
      <c r="B52" s="117"/>
      <c r="C52" s="117"/>
      <c r="D52" s="19">
        <f t="shared" si="28"/>
        <v>-1459</v>
      </c>
      <c r="E52" s="106"/>
      <c r="F52" s="170"/>
      <c r="G52" s="26">
        <f t="shared" si="29"/>
        <v>-1459</v>
      </c>
      <c r="H52" s="118"/>
      <c r="I52" s="133"/>
      <c r="J52" s="19">
        <f t="shared" si="30"/>
        <v>-1459</v>
      </c>
      <c r="K52" s="106"/>
      <c r="L52" s="107"/>
      <c r="M52" s="26">
        <f t="shared" si="31"/>
        <v>-1459</v>
      </c>
      <c r="N52" s="117"/>
      <c r="O52" s="117"/>
      <c r="P52" s="38">
        <f t="shared" si="32"/>
        <v>-1459</v>
      </c>
      <c r="Q52" s="106"/>
      <c r="R52" s="107"/>
      <c r="S52" s="26">
        <f t="shared" si="33"/>
        <v>-1459</v>
      </c>
      <c r="T52" s="136"/>
      <c r="U52" s="136"/>
      <c r="V52" s="45">
        <f t="shared" si="34"/>
        <v>-1459</v>
      </c>
      <c r="W52" s="143"/>
    </row>
    <row r="53" spans="1:23" ht="15" customHeight="1">
      <c r="A53" s="114"/>
      <c r="B53" s="117"/>
      <c r="C53" s="117"/>
      <c r="D53" s="19">
        <f t="shared" si="28"/>
        <v>-1459</v>
      </c>
      <c r="E53" s="106"/>
      <c r="F53" s="170"/>
      <c r="G53" s="26">
        <f t="shared" si="29"/>
        <v>-1459</v>
      </c>
      <c r="H53" s="117"/>
      <c r="I53" s="133"/>
      <c r="J53" s="19">
        <f t="shared" si="30"/>
        <v>-1459</v>
      </c>
      <c r="K53" s="106"/>
      <c r="L53" s="107"/>
      <c r="M53" s="26">
        <f t="shared" si="31"/>
        <v>-1459</v>
      </c>
      <c r="N53" s="117"/>
      <c r="O53" s="117"/>
      <c r="P53" s="38">
        <f t="shared" si="32"/>
        <v>-1459</v>
      </c>
      <c r="Q53" s="106"/>
      <c r="R53" s="107"/>
      <c r="S53" s="26">
        <f t="shared" si="33"/>
        <v>-1459</v>
      </c>
      <c r="T53" s="136"/>
      <c r="U53" s="136"/>
      <c r="V53" s="45">
        <f t="shared" si="34"/>
        <v>-1459</v>
      </c>
      <c r="W53" s="143"/>
    </row>
    <row r="54" spans="1:23" ht="15" customHeight="1">
      <c r="A54" s="114"/>
      <c r="B54" s="117"/>
      <c r="C54" s="117"/>
      <c r="D54" s="19">
        <f t="shared" si="28"/>
        <v>-1459</v>
      </c>
      <c r="E54" s="106"/>
      <c r="F54" s="170"/>
      <c r="G54" s="26">
        <f t="shared" si="29"/>
        <v>-1459</v>
      </c>
      <c r="H54" s="117"/>
      <c r="I54" s="133"/>
      <c r="J54" s="19">
        <f t="shared" si="30"/>
        <v>-1459</v>
      </c>
      <c r="K54" s="106"/>
      <c r="L54" s="107"/>
      <c r="M54" s="26">
        <f t="shared" si="31"/>
        <v>-1459</v>
      </c>
      <c r="N54" s="117"/>
      <c r="O54" s="117"/>
      <c r="P54" s="38">
        <f t="shared" si="32"/>
        <v>-1459</v>
      </c>
      <c r="Q54" s="106"/>
      <c r="R54" s="107"/>
      <c r="S54" s="26">
        <f t="shared" si="33"/>
        <v>-1459</v>
      </c>
      <c r="T54" s="118"/>
      <c r="U54" s="117"/>
      <c r="V54" s="45">
        <f t="shared" si="34"/>
        <v>-1459</v>
      </c>
      <c r="W54" s="143"/>
    </row>
    <row r="55" spans="1:23" ht="15" customHeight="1">
      <c r="A55" s="114"/>
      <c r="B55" s="117"/>
      <c r="C55" s="117"/>
      <c r="D55" s="19">
        <f t="shared" si="28"/>
        <v>-1459</v>
      </c>
      <c r="E55" s="122"/>
      <c r="F55" s="171"/>
      <c r="G55" s="26">
        <f t="shared" si="29"/>
        <v>-1459</v>
      </c>
      <c r="H55" s="117"/>
      <c r="I55" s="133"/>
      <c r="J55" s="19">
        <f t="shared" si="30"/>
        <v>-1459</v>
      </c>
      <c r="K55" s="122"/>
      <c r="L55" s="123"/>
      <c r="M55" s="26">
        <f t="shared" si="31"/>
        <v>-1459</v>
      </c>
      <c r="N55" s="117"/>
      <c r="O55" s="117"/>
      <c r="P55" s="38">
        <f t="shared" si="32"/>
        <v>-1459</v>
      </c>
      <c r="Q55" s="122"/>
      <c r="R55" s="123"/>
      <c r="S55" s="26">
        <f t="shared" si="33"/>
        <v>-1459</v>
      </c>
      <c r="T55" s="136"/>
      <c r="U55" s="136"/>
      <c r="V55" s="45">
        <f t="shared" si="34"/>
        <v>-1459</v>
      </c>
      <c r="W55" s="143"/>
    </row>
    <row r="56" spans="1:23" ht="15" customHeight="1">
      <c r="A56" s="114"/>
      <c r="B56" s="128"/>
      <c r="C56" s="128"/>
      <c r="D56" s="29">
        <f t="shared" si="28"/>
        <v>-1459</v>
      </c>
      <c r="E56" s="122"/>
      <c r="F56" s="171"/>
      <c r="G56" s="39">
        <f t="shared" si="29"/>
        <v>-1459</v>
      </c>
      <c r="H56" s="128"/>
      <c r="I56" s="140"/>
      <c r="J56" s="29">
        <f t="shared" si="30"/>
        <v>-1459</v>
      </c>
      <c r="K56" s="122"/>
      <c r="L56" s="123"/>
      <c r="M56" s="39">
        <f t="shared" si="31"/>
        <v>-1459</v>
      </c>
      <c r="N56" s="128"/>
      <c r="O56" s="128"/>
      <c r="P56" s="40">
        <f t="shared" si="32"/>
        <v>-1459</v>
      </c>
      <c r="Q56" s="122"/>
      <c r="R56" s="123"/>
      <c r="S56" s="39">
        <f t="shared" si="33"/>
        <v>-1459</v>
      </c>
      <c r="T56" s="141"/>
      <c r="U56" s="141"/>
      <c r="V56" s="46">
        <f t="shared" si="34"/>
        <v>-1459</v>
      </c>
      <c r="W56" s="143"/>
    </row>
    <row r="57" spans="1:23" ht="17.25" customHeight="1">
      <c r="A57" s="87"/>
      <c r="B57" s="77">
        <f ca="1">IFERROR(__xludf.DUMMYFUNCTION("DATE(VALUE(LEFT($B$2,4)),VALUE(MID($B$2,6,2)),VALUE(RIGHT($B$2,2)))
+ (VALUE(REGEXEXTRACT(INDIRECT(""A""&amp;ROW()+1),""\d+""))-1)*7
+ INT((COLUMN()-COLUMN($B57))/3)
"),46782)</f>
        <v>46782</v>
      </c>
      <c r="C57" s="81"/>
      <c r="D57" s="82"/>
      <c r="E57" s="77">
        <f ca="1">IFERROR(__xludf.DUMMYFUNCTION("DATE(VALUE(LEFT($B$2,4)),VALUE(MID($B$2,6,2)),VALUE(RIGHT($B$2,2)))
+ (VALUE(REGEXEXTRACT(INDIRECT(""A""&amp;ROW()+1),""\d+""))-1)*7
+ INT((COLUMN()-COLUMN($B57))/3)
"),46783)</f>
        <v>46783</v>
      </c>
      <c r="F57" s="81"/>
      <c r="G57" s="82"/>
      <c r="H57" s="77">
        <f ca="1">IFERROR(__xludf.DUMMYFUNCTION("DATE(VALUE(LEFT($B$2,4)),VALUE(MID($B$2,6,2)),VALUE(RIGHT($B$2,2)))
+ (VALUE(REGEXEXTRACT(INDIRECT(""A""&amp;ROW()+1),""\d+""))-1)*7
+ INT((COLUMN()-COLUMN($B57))/3)
"),46784)</f>
        <v>46784</v>
      </c>
      <c r="I57" s="81"/>
      <c r="J57" s="82"/>
      <c r="K57" s="77">
        <f ca="1">IFERROR(__xludf.DUMMYFUNCTION("DATE(VALUE(LEFT($B$2,4)),VALUE(MID($B$2,6,2)),VALUE(RIGHT($B$2,2)))
+ (VALUE(REGEXEXTRACT(INDIRECT(""A""&amp;ROW()+1),""\d+""))-1)*7
+ INT((COLUMN()-COLUMN($B57))/3)
"),46785)</f>
        <v>46785</v>
      </c>
      <c r="L57" s="81"/>
      <c r="M57" s="82"/>
      <c r="N57" s="77">
        <f ca="1">IFERROR(__xludf.DUMMYFUNCTION("DATE(VALUE(LEFT($B$2,4)),VALUE(MID($B$2,6,2)),VALUE(RIGHT($B$2,2)))
+ (VALUE(REGEXEXTRACT(INDIRECT(""A""&amp;ROW()+1),""\d+""))-1)*7
+ INT((COLUMN()-COLUMN($B57))/3)
"),46786)</f>
        <v>46786</v>
      </c>
      <c r="O57" s="81"/>
      <c r="P57" s="82"/>
      <c r="Q57" s="77">
        <f ca="1">IFERROR(__xludf.DUMMYFUNCTION("DATE(VALUE(LEFT($B$2,4)),VALUE(MID($B$2,6,2)),VALUE(RIGHT($B$2,2)))
+ (VALUE(REGEXEXTRACT(INDIRECT(""A""&amp;ROW()+1),""\d+""))-1)*7
+ INT((COLUMN()-COLUMN($B57))/3)
"),46787)</f>
        <v>46787</v>
      </c>
      <c r="R57" s="81"/>
      <c r="S57" s="82"/>
      <c r="T57" s="77">
        <f ca="1">IFERROR(__xludf.DUMMYFUNCTION("DATE(VALUE(LEFT($B$2,4)),VALUE(MID($B$2,6,2)),VALUE(RIGHT($B$2,2)))
+ (VALUE(REGEXEXTRACT(INDIRECT(""A""&amp;ROW()+1),""\d+""))-1)*7
+ INT((COLUMN()-COLUMN($B57))/3)
"),46788)</f>
        <v>46788</v>
      </c>
      <c r="U57" s="81"/>
      <c r="V57" s="82"/>
      <c r="W57" s="143"/>
    </row>
    <row r="58" spans="1:23" ht="15" customHeight="1">
      <c r="A58" s="51" t="s">
        <v>141</v>
      </c>
      <c r="B58" s="112"/>
      <c r="C58" s="111"/>
      <c r="D58" s="17">
        <f>V56+C58</f>
        <v>-1459</v>
      </c>
      <c r="E58" s="109"/>
      <c r="F58" s="109"/>
      <c r="G58" s="42">
        <f>D66+F58</f>
        <v>-1459</v>
      </c>
      <c r="H58" s="112"/>
      <c r="I58" s="111"/>
      <c r="J58" s="17">
        <f>G66+I58</f>
        <v>-1459</v>
      </c>
      <c r="K58" s="109"/>
      <c r="L58" s="109"/>
      <c r="M58" s="35">
        <f>J66+L58</f>
        <v>-1459</v>
      </c>
      <c r="N58" s="112"/>
      <c r="O58" s="111"/>
      <c r="P58" s="17">
        <f>M66+O58</f>
        <v>-1459</v>
      </c>
      <c r="Q58" s="109"/>
      <c r="R58" s="109"/>
      <c r="S58" s="35">
        <f>P66+R58</f>
        <v>-1459</v>
      </c>
      <c r="T58" s="112"/>
      <c r="U58" s="111"/>
      <c r="V58" s="48">
        <f>S66+U58</f>
        <v>-1459</v>
      </c>
      <c r="W58" s="143"/>
    </row>
    <row r="59" spans="1:23" ht="15" customHeight="1">
      <c r="A59" s="114"/>
      <c r="B59" s="106"/>
      <c r="C59" s="107"/>
      <c r="D59" s="26">
        <f t="shared" ref="D59:D66" si="35">D58+C59</f>
        <v>-1459</v>
      </c>
      <c r="E59" s="117"/>
      <c r="F59" s="117"/>
      <c r="G59" s="19">
        <f t="shared" ref="G59:G66" si="36">G58+F59</f>
        <v>-1459</v>
      </c>
      <c r="H59" s="106"/>
      <c r="I59" s="107"/>
      <c r="J59" s="26">
        <f t="shared" ref="J59:J66" si="37">J58+I59</f>
        <v>-1459</v>
      </c>
      <c r="K59" s="117"/>
      <c r="L59" s="117"/>
      <c r="M59" s="38">
        <f t="shared" ref="M59:M66" si="38">M58+L59</f>
        <v>-1459</v>
      </c>
      <c r="N59" s="106"/>
      <c r="O59" s="107"/>
      <c r="P59" s="26">
        <f t="shared" ref="P59:P66" si="39">P58+O59</f>
        <v>-1459</v>
      </c>
      <c r="Q59" s="117"/>
      <c r="R59" s="117"/>
      <c r="S59" s="38">
        <f t="shared" ref="S59:S66" si="40">S58+R59</f>
        <v>-1459</v>
      </c>
      <c r="T59" s="106"/>
      <c r="U59" s="107"/>
      <c r="V59" s="20">
        <f t="shared" ref="V59:V66" si="41">V58+U59</f>
        <v>-1459</v>
      </c>
      <c r="W59" s="143"/>
    </row>
    <row r="60" spans="1:23" ht="15" customHeight="1">
      <c r="A60" s="114"/>
      <c r="B60" s="106"/>
      <c r="C60" s="107"/>
      <c r="D60" s="26">
        <f t="shared" si="35"/>
        <v>-1459</v>
      </c>
      <c r="E60" s="117"/>
      <c r="F60" s="117"/>
      <c r="G60" s="19">
        <f t="shared" si="36"/>
        <v>-1459</v>
      </c>
      <c r="H60" s="106"/>
      <c r="I60" s="107"/>
      <c r="J60" s="26">
        <f t="shared" si="37"/>
        <v>-1459</v>
      </c>
      <c r="K60" s="117"/>
      <c r="L60" s="117"/>
      <c r="M60" s="38">
        <f t="shared" si="38"/>
        <v>-1459</v>
      </c>
      <c r="N60" s="106"/>
      <c r="O60" s="107"/>
      <c r="P60" s="26">
        <f t="shared" si="39"/>
        <v>-1459</v>
      </c>
      <c r="Q60" s="117"/>
      <c r="R60" s="117"/>
      <c r="S60" s="38">
        <f t="shared" si="40"/>
        <v>-1459</v>
      </c>
      <c r="T60" s="106"/>
      <c r="U60" s="116"/>
      <c r="V60" s="20">
        <f t="shared" si="41"/>
        <v>-1459</v>
      </c>
      <c r="W60" s="143"/>
    </row>
    <row r="61" spans="1:23" ht="15" customHeight="1">
      <c r="A61" s="114"/>
      <c r="B61" s="106"/>
      <c r="C61" s="107"/>
      <c r="D61" s="26">
        <f t="shared" si="35"/>
        <v>-1459</v>
      </c>
      <c r="E61" s="117"/>
      <c r="F61" s="117"/>
      <c r="G61" s="19">
        <f t="shared" si="36"/>
        <v>-1459</v>
      </c>
      <c r="H61" s="106"/>
      <c r="I61" s="107"/>
      <c r="J61" s="26">
        <f t="shared" si="37"/>
        <v>-1459</v>
      </c>
      <c r="K61" s="117"/>
      <c r="L61" s="117"/>
      <c r="M61" s="38">
        <f t="shared" si="38"/>
        <v>-1459</v>
      </c>
      <c r="N61" s="106"/>
      <c r="O61" s="107"/>
      <c r="P61" s="26">
        <f t="shared" si="39"/>
        <v>-1459</v>
      </c>
      <c r="Q61" s="117"/>
      <c r="R61" s="117"/>
      <c r="S61" s="38">
        <f t="shared" si="40"/>
        <v>-1459</v>
      </c>
      <c r="T61" s="106"/>
      <c r="U61" s="116"/>
      <c r="V61" s="20">
        <f t="shared" si="41"/>
        <v>-1459</v>
      </c>
      <c r="W61" s="143"/>
    </row>
    <row r="62" spans="1:23" ht="15" customHeight="1">
      <c r="A62" s="114"/>
      <c r="B62" s="106"/>
      <c r="C62" s="107"/>
      <c r="D62" s="26">
        <f t="shared" si="35"/>
        <v>-1459</v>
      </c>
      <c r="E62" s="117"/>
      <c r="F62" s="117"/>
      <c r="G62" s="19">
        <f t="shared" si="36"/>
        <v>-1459</v>
      </c>
      <c r="H62" s="106"/>
      <c r="I62" s="107"/>
      <c r="J62" s="26">
        <f t="shared" si="37"/>
        <v>-1459</v>
      </c>
      <c r="K62" s="117"/>
      <c r="L62" s="117"/>
      <c r="M62" s="38">
        <f t="shared" si="38"/>
        <v>-1459</v>
      </c>
      <c r="N62" s="106"/>
      <c r="O62" s="107"/>
      <c r="P62" s="26">
        <f t="shared" si="39"/>
        <v>-1459</v>
      </c>
      <c r="Q62" s="117"/>
      <c r="R62" s="117"/>
      <c r="S62" s="38">
        <f t="shared" si="40"/>
        <v>-1459</v>
      </c>
      <c r="T62" s="106"/>
      <c r="U62" s="116"/>
      <c r="V62" s="20">
        <f t="shared" si="41"/>
        <v>-1459</v>
      </c>
      <c r="W62" s="143"/>
    </row>
    <row r="63" spans="1:23" ht="15" customHeight="1">
      <c r="A63" s="114"/>
      <c r="B63" s="106"/>
      <c r="C63" s="107"/>
      <c r="D63" s="26">
        <f t="shared" si="35"/>
        <v>-1459</v>
      </c>
      <c r="E63" s="117"/>
      <c r="F63" s="117"/>
      <c r="G63" s="19">
        <f t="shared" si="36"/>
        <v>-1459</v>
      </c>
      <c r="H63" s="106"/>
      <c r="I63" s="107"/>
      <c r="J63" s="26">
        <f t="shared" si="37"/>
        <v>-1459</v>
      </c>
      <c r="K63" s="117"/>
      <c r="L63" s="117"/>
      <c r="M63" s="38">
        <f t="shared" si="38"/>
        <v>-1459</v>
      </c>
      <c r="N63" s="106"/>
      <c r="O63" s="107"/>
      <c r="P63" s="26">
        <f t="shared" si="39"/>
        <v>-1459</v>
      </c>
      <c r="Q63" s="117"/>
      <c r="R63" s="117"/>
      <c r="S63" s="38">
        <f t="shared" si="40"/>
        <v>-1459</v>
      </c>
      <c r="T63" s="106"/>
      <c r="U63" s="116"/>
      <c r="V63" s="20">
        <f t="shared" si="41"/>
        <v>-1459</v>
      </c>
      <c r="W63" s="143"/>
    </row>
    <row r="64" spans="1:23" ht="15" customHeight="1">
      <c r="A64" s="114"/>
      <c r="B64" s="106"/>
      <c r="C64" s="107"/>
      <c r="D64" s="26">
        <f t="shared" si="35"/>
        <v>-1459</v>
      </c>
      <c r="E64" s="117"/>
      <c r="F64" s="117"/>
      <c r="G64" s="19">
        <f t="shared" si="36"/>
        <v>-1459</v>
      </c>
      <c r="H64" s="106"/>
      <c r="I64" s="107"/>
      <c r="J64" s="26">
        <f t="shared" si="37"/>
        <v>-1459</v>
      </c>
      <c r="K64" s="117"/>
      <c r="L64" s="117"/>
      <c r="M64" s="38">
        <f t="shared" si="38"/>
        <v>-1459</v>
      </c>
      <c r="N64" s="106"/>
      <c r="O64" s="107"/>
      <c r="P64" s="26">
        <f t="shared" si="39"/>
        <v>-1459</v>
      </c>
      <c r="Q64" s="117"/>
      <c r="R64" s="117"/>
      <c r="S64" s="38">
        <f t="shared" si="40"/>
        <v>-1459</v>
      </c>
      <c r="T64" s="106"/>
      <c r="U64" s="116"/>
      <c r="V64" s="20">
        <f t="shared" si="41"/>
        <v>-1459</v>
      </c>
      <c r="W64" s="143"/>
    </row>
    <row r="65" spans="1:23" ht="15" customHeight="1">
      <c r="A65" s="114"/>
      <c r="B65" s="106"/>
      <c r="C65" s="107"/>
      <c r="D65" s="26">
        <f t="shared" si="35"/>
        <v>-1459</v>
      </c>
      <c r="E65" s="117"/>
      <c r="F65" s="117"/>
      <c r="G65" s="19">
        <f t="shared" si="36"/>
        <v>-1459</v>
      </c>
      <c r="H65" s="106"/>
      <c r="I65" s="107"/>
      <c r="J65" s="26">
        <f t="shared" si="37"/>
        <v>-1459</v>
      </c>
      <c r="K65" s="117"/>
      <c r="L65" s="117"/>
      <c r="M65" s="38">
        <f t="shared" si="38"/>
        <v>-1459</v>
      </c>
      <c r="N65" s="106"/>
      <c r="O65" s="107"/>
      <c r="P65" s="26">
        <f t="shared" si="39"/>
        <v>-1459</v>
      </c>
      <c r="Q65" s="117"/>
      <c r="R65" s="117"/>
      <c r="S65" s="38">
        <f t="shared" si="40"/>
        <v>-1459</v>
      </c>
      <c r="T65" s="106"/>
      <c r="U65" s="116"/>
      <c r="V65" s="20">
        <f t="shared" si="41"/>
        <v>-1459</v>
      </c>
      <c r="W65" s="143"/>
    </row>
    <row r="66" spans="1:23" ht="15" customHeight="1">
      <c r="A66" s="114"/>
      <c r="B66" s="166"/>
      <c r="C66" s="167"/>
      <c r="D66" s="39">
        <f t="shared" si="35"/>
        <v>-1459</v>
      </c>
      <c r="E66" s="128"/>
      <c r="F66" s="128"/>
      <c r="G66" s="29">
        <f t="shared" si="36"/>
        <v>-1459</v>
      </c>
      <c r="H66" s="122"/>
      <c r="I66" s="123"/>
      <c r="J66" s="39">
        <f t="shared" si="37"/>
        <v>-1459</v>
      </c>
      <c r="K66" s="128"/>
      <c r="L66" s="128"/>
      <c r="M66" s="40">
        <f t="shared" si="38"/>
        <v>-1459</v>
      </c>
      <c r="N66" s="122"/>
      <c r="O66" s="123"/>
      <c r="P66" s="39">
        <f t="shared" si="39"/>
        <v>-1459</v>
      </c>
      <c r="Q66" s="128"/>
      <c r="R66" s="128"/>
      <c r="S66" s="40">
        <f t="shared" si="40"/>
        <v>-1459</v>
      </c>
      <c r="T66" s="122"/>
      <c r="U66" s="124"/>
      <c r="V66" s="49">
        <f t="shared" si="41"/>
        <v>-1459</v>
      </c>
      <c r="W66" s="143"/>
    </row>
    <row r="67" spans="1:23" ht="17.25" customHeight="1">
      <c r="A67" s="87"/>
      <c r="B67" s="77">
        <f ca="1">IFERROR(__xludf.DUMMYFUNCTION("DATE(VALUE(LEFT($B$2,4)),VALUE(MID($B$2,6,2)),VALUE(RIGHT($B$2,2)))
+ (VALUE(REGEXEXTRACT(INDIRECT(""A""&amp;ROW()+1),""\d+""))-1)*7
+ INT((COLUMN()-COLUMN($B67))/3)
"),46789)</f>
        <v>46789</v>
      </c>
      <c r="C67" s="81"/>
      <c r="D67" s="82"/>
      <c r="E67" s="77">
        <f ca="1">IFERROR(__xludf.DUMMYFUNCTION("DATE(VALUE(LEFT($B$2,4)),VALUE(MID($B$2,6,2)),VALUE(RIGHT($B$2,2)))
+ (VALUE(REGEXEXTRACT(INDIRECT(""A""&amp;ROW()+1),""\d+""))-1)*7
+ INT((COLUMN()-COLUMN($B67))/3)
"),46790)</f>
        <v>46790</v>
      </c>
      <c r="F67" s="81"/>
      <c r="G67" s="82"/>
      <c r="H67" s="77">
        <f ca="1">IFERROR(__xludf.DUMMYFUNCTION("DATE(VALUE(LEFT($B$2,4)),VALUE(MID($B$2,6,2)),VALUE(RIGHT($B$2,2)))
+ (VALUE(REGEXEXTRACT(INDIRECT(""A""&amp;ROW()+1),""\d+""))-1)*7
+ INT((COLUMN()-COLUMN($B67))/3)
"),46791)</f>
        <v>46791</v>
      </c>
      <c r="I67" s="81"/>
      <c r="J67" s="82"/>
      <c r="K67" s="77">
        <f ca="1">IFERROR(__xludf.DUMMYFUNCTION("DATE(VALUE(LEFT($B$2,4)),VALUE(MID($B$2,6,2)),VALUE(RIGHT($B$2,2)))
+ (VALUE(REGEXEXTRACT(INDIRECT(""A""&amp;ROW()+1),""\d+""))-1)*7
+ INT((COLUMN()-COLUMN($B67))/3)
"),46792)</f>
        <v>46792</v>
      </c>
      <c r="L67" s="81"/>
      <c r="M67" s="82"/>
      <c r="N67" s="77">
        <f ca="1">IFERROR(__xludf.DUMMYFUNCTION("DATE(VALUE(LEFT($B$2,4)),VALUE(MID($B$2,6,2)),VALUE(RIGHT($B$2,2)))
+ (VALUE(REGEXEXTRACT(INDIRECT(""A""&amp;ROW()+1),""\d+""))-1)*7
+ INT((COLUMN()-COLUMN($B67))/3)
"),46793)</f>
        <v>46793</v>
      </c>
      <c r="O67" s="81"/>
      <c r="P67" s="82"/>
      <c r="Q67" s="77">
        <f ca="1">IFERROR(__xludf.DUMMYFUNCTION("DATE(VALUE(LEFT($B$2,4)),VALUE(MID($B$2,6,2)),VALUE(RIGHT($B$2,2)))
+ (VALUE(REGEXEXTRACT(INDIRECT(""A""&amp;ROW()+1),""\d+""))-1)*7
+ INT((COLUMN()-COLUMN($B67))/3)
"),46794)</f>
        <v>46794</v>
      </c>
      <c r="R67" s="81"/>
      <c r="S67" s="82"/>
      <c r="T67" s="77">
        <f ca="1">IFERROR(__xludf.DUMMYFUNCTION("DATE(VALUE(LEFT($B$2,4)),VALUE(MID($B$2,6,2)),VALUE(RIGHT($B$2,2)))
+ (VALUE(REGEXEXTRACT(INDIRECT(""A""&amp;ROW()+1),""\d+""))-1)*7
+ INT((COLUMN()-COLUMN($B67))/3)
"),46795)</f>
        <v>46795</v>
      </c>
      <c r="U67" s="81"/>
      <c r="V67" s="82"/>
      <c r="W67" s="52" t="s">
        <v>20</v>
      </c>
    </row>
    <row r="68" spans="1:23" ht="17.25" customHeight="1">
      <c r="A68" s="47" t="s">
        <v>142</v>
      </c>
      <c r="B68" s="113"/>
      <c r="C68" s="109"/>
      <c r="D68" s="42">
        <f>V66+C68</f>
        <v>-1459</v>
      </c>
      <c r="E68" s="112"/>
      <c r="F68" s="111"/>
      <c r="G68" s="36">
        <f>D78+F68</f>
        <v>-1459</v>
      </c>
      <c r="H68" s="132"/>
      <c r="I68" s="109"/>
      <c r="J68" s="42">
        <f>G78+I68</f>
        <v>-1459</v>
      </c>
      <c r="K68" s="112"/>
      <c r="L68" s="111"/>
      <c r="M68" s="18">
        <f>J78+L68</f>
        <v>-1459</v>
      </c>
      <c r="N68" s="113"/>
      <c r="O68" s="109"/>
      <c r="P68" s="35">
        <f>M78+O68</f>
        <v>-1459</v>
      </c>
      <c r="Q68" s="112"/>
      <c r="R68" s="111"/>
      <c r="S68" s="18">
        <f>P78+R68</f>
        <v>-1459</v>
      </c>
      <c r="T68" s="113"/>
      <c r="U68" s="109"/>
      <c r="V68" s="50">
        <f>S78+U68</f>
        <v>-1459</v>
      </c>
      <c r="W68" s="172"/>
    </row>
    <row r="69" spans="1:23" ht="15" customHeight="1">
      <c r="A69" s="114"/>
      <c r="B69" s="118"/>
      <c r="C69" s="117"/>
      <c r="D69" s="19">
        <f t="shared" ref="D69:D78" si="42">D68+C69</f>
        <v>-1459</v>
      </c>
      <c r="E69" s="106"/>
      <c r="F69" s="107"/>
      <c r="G69" s="26">
        <f t="shared" ref="G69:G78" si="43">G68+F69</f>
        <v>-1459</v>
      </c>
      <c r="H69" s="133"/>
      <c r="I69" s="117"/>
      <c r="J69" s="19">
        <f t="shared" ref="J69:J78" si="44">J68+I69</f>
        <v>-1459</v>
      </c>
      <c r="K69" s="106"/>
      <c r="L69" s="107"/>
      <c r="M69" s="26">
        <f t="shared" ref="M69:M78" si="45">M68+L69</f>
        <v>-1459</v>
      </c>
      <c r="N69" s="118"/>
      <c r="O69" s="117"/>
      <c r="P69" s="38">
        <f t="shared" ref="P69:P78" si="46">P68+O69</f>
        <v>-1459</v>
      </c>
      <c r="Q69" s="106"/>
      <c r="R69" s="107"/>
      <c r="S69" s="26">
        <f t="shared" ref="S69:S78" si="47">S68+R69</f>
        <v>-1459</v>
      </c>
      <c r="T69" s="117"/>
      <c r="U69" s="117"/>
      <c r="V69" s="45">
        <f t="shared" ref="V69:V78" si="48">V68+U69</f>
        <v>-1459</v>
      </c>
      <c r="W69" s="143"/>
    </row>
    <row r="70" spans="1:23" ht="15" customHeight="1">
      <c r="A70" s="114"/>
      <c r="B70" s="118"/>
      <c r="C70" s="117"/>
      <c r="D70" s="19">
        <f t="shared" si="42"/>
        <v>-1459</v>
      </c>
      <c r="E70" s="106"/>
      <c r="F70" s="107"/>
      <c r="G70" s="26">
        <f t="shared" si="43"/>
        <v>-1459</v>
      </c>
      <c r="H70" s="133"/>
      <c r="I70" s="117"/>
      <c r="J70" s="19">
        <f t="shared" si="44"/>
        <v>-1459</v>
      </c>
      <c r="K70" s="106"/>
      <c r="L70" s="107"/>
      <c r="M70" s="26">
        <f t="shared" si="45"/>
        <v>-1459</v>
      </c>
      <c r="N70" s="117"/>
      <c r="O70" s="117"/>
      <c r="P70" s="38">
        <f t="shared" si="46"/>
        <v>-1459</v>
      </c>
      <c r="Q70" s="106"/>
      <c r="R70" s="107"/>
      <c r="S70" s="26">
        <f t="shared" si="47"/>
        <v>-1459</v>
      </c>
      <c r="T70" s="117"/>
      <c r="U70" s="117"/>
      <c r="V70" s="45">
        <f t="shared" si="48"/>
        <v>-1459</v>
      </c>
      <c r="W70" s="143"/>
    </row>
    <row r="71" spans="1:23" ht="15" customHeight="1">
      <c r="A71" s="114"/>
      <c r="B71" s="118"/>
      <c r="C71" s="117"/>
      <c r="D71" s="19">
        <f t="shared" si="42"/>
        <v>-1459</v>
      </c>
      <c r="E71" s="106"/>
      <c r="F71" s="107"/>
      <c r="G71" s="26">
        <f t="shared" si="43"/>
        <v>-1459</v>
      </c>
      <c r="H71" s="117"/>
      <c r="I71" s="117"/>
      <c r="J71" s="19">
        <f t="shared" si="44"/>
        <v>-1459</v>
      </c>
      <c r="K71" s="106"/>
      <c r="L71" s="107"/>
      <c r="M71" s="26">
        <f t="shared" si="45"/>
        <v>-1459</v>
      </c>
      <c r="N71" s="117"/>
      <c r="O71" s="117"/>
      <c r="P71" s="38">
        <f t="shared" si="46"/>
        <v>-1459</v>
      </c>
      <c r="Q71" s="106"/>
      <c r="R71" s="107"/>
      <c r="S71" s="26">
        <f t="shared" si="47"/>
        <v>-1459</v>
      </c>
      <c r="T71" s="117"/>
      <c r="U71" s="117"/>
      <c r="V71" s="45">
        <f t="shared" si="48"/>
        <v>-1459</v>
      </c>
      <c r="W71" s="143"/>
    </row>
    <row r="72" spans="1:23" ht="15" customHeight="1">
      <c r="A72" s="114"/>
      <c r="B72" s="118"/>
      <c r="C72" s="117"/>
      <c r="D72" s="19">
        <f t="shared" si="42"/>
        <v>-1459</v>
      </c>
      <c r="E72" s="106"/>
      <c r="F72" s="107"/>
      <c r="G72" s="26">
        <f t="shared" si="43"/>
        <v>-1459</v>
      </c>
      <c r="H72" s="117"/>
      <c r="I72" s="117"/>
      <c r="J72" s="19">
        <f t="shared" si="44"/>
        <v>-1459</v>
      </c>
      <c r="K72" s="106"/>
      <c r="L72" s="107"/>
      <c r="M72" s="26">
        <f t="shared" si="45"/>
        <v>-1459</v>
      </c>
      <c r="N72" s="117"/>
      <c r="O72" s="117"/>
      <c r="P72" s="38">
        <f t="shared" si="46"/>
        <v>-1459</v>
      </c>
      <c r="Q72" s="106"/>
      <c r="R72" s="107"/>
      <c r="S72" s="26">
        <f t="shared" si="47"/>
        <v>-1459</v>
      </c>
      <c r="T72" s="136"/>
      <c r="U72" s="136"/>
      <c r="V72" s="45">
        <f t="shared" si="48"/>
        <v>-1459</v>
      </c>
      <c r="W72" s="143"/>
    </row>
    <row r="73" spans="1:23" ht="15" customHeight="1">
      <c r="A73" s="114"/>
      <c r="B73" s="118"/>
      <c r="C73" s="117"/>
      <c r="D73" s="19">
        <f t="shared" si="42"/>
        <v>-1459</v>
      </c>
      <c r="E73" s="106"/>
      <c r="F73" s="107"/>
      <c r="G73" s="26">
        <f t="shared" si="43"/>
        <v>-1459</v>
      </c>
      <c r="H73" s="117"/>
      <c r="I73" s="117"/>
      <c r="J73" s="19">
        <f t="shared" si="44"/>
        <v>-1459</v>
      </c>
      <c r="K73" s="106"/>
      <c r="L73" s="107"/>
      <c r="M73" s="26">
        <f t="shared" si="45"/>
        <v>-1459</v>
      </c>
      <c r="N73" s="117"/>
      <c r="O73" s="117"/>
      <c r="P73" s="38">
        <f t="shared" si="46"/>
        <v>-1459</v>
      </c>
      <c r="Q73" s="106"/>
      <c r="R73" s="107"/>
      <c r="S73" s="26">
        <f t="shared" si="47"/>
        <v>-1459</v>
      </c>
      <c r="T73" s="136"/>
      <c r="U73" s="136"/>
      <c r="V73" s="45">
        <f t="shared" si="48"/>
        <v>-1459</v>
      </c>
      <c r="W73" s="143"/>
    </row>
    <row r="74" spans="1:23" ht="15" customHeight="1">
      <c r="A74" s="114"/>
      <c r="B74" s="117"/>
      <c r="C74" s="117"/>
      <c r="D74" s="19">
        <f t="shared" si="42"/>
        <v>-1459</v>
      </c>
      <c r="E74" s="106"/>
      <c r="F74" s="107"/>
      <c r="G74" s="26">
        <f t="shared" si="43"/>
        <v>-1459</v>
      </c>
      <c r="H74" s="117"/>
      <c r="I74" s="117"/>
      <c r="J74" s="19">
        <f t="shared" si="44"/>
        <v>-1459</v>
      </c>
      <c r="K74" s="106"/>
      <c r="L74" s="107"/>
      <c r="M74" s="26">
        <f t="shared" si="45"/>
        <v>-1459</v>
      </c>
      <c r="N74" s="117"/>
      <c r="O74" s="117"/>
      <c r="P74" s="38">
        <f t="shared" si="46"/>
        <v>-1459</v>
      </c>
      <c r="Q74" s="106"/>
      <c r="R74" s="107"/>
      <c r="S74" s="26">
        <f t="shared" si="47"/>
        <v>-1459</v>
      </c>
      <c r="T74" s="133"/>
      <c r="U74" s="117"/>
      <c r="V74" s="45">
        <f t="shared" si="48"/>
        <v>-1459</v>
      </c>
      <c r="W74" s="143"/>
    </row>
    <row r="75" spans="1:23" ht="15" customHeight="1">
      <c r="A75" s="114"/>
      <c r="B75" s="117"/>
      <c r="C75" s="117"/>
      <c r="D75" s="19">
        <f t="shared" si="42"/>
        <v>-1459</v>
      </c>
      <c r="E75" s="106"/>
      <c r="F75" s="107"/>
      <c r="G75" s="26">
        <f t="shared" si="43"/>
        <v>-1459</v>
      </c>
      <c r="H75" s="117"/>
      <c r="I75" s="117"/>
      <c r="J75" s="19">
        <f t="shared" si="44"/>
        <v>-1459</v>
      </c>
      <c r="K75" s="106"/>
      <c r="L75" s="107"/>
      <c r="M75" s="26">
        <f t="shared" si="45"/>
        <v>-1459</v>
      </c>
      <c r="N75" s="117"/>
      <c r="O75" s="117"/>
      <c r="P75" s="38">
        <f t="shared" si="46"/>
        <v>-1459</v>
      </c>
      <c r="Q75" s="106"/>
      <c r="R75" s="107"/>
      <c r="S75" s="26">
        <f t="shared" si="47"/>
        <v>-1459</v>
      </c>
      <c r="T75" s="133"/>
      <c r="U75" s="117"/>
      <c r="V75" s="45">
        <f t="shared" si="48"/>
        <v>-1459</v>
      </c>
      <c r="W75" s="143"/>
    </row>
    <row r="76" spans="1:23" ht="15" customHeight="1">
      <c r="A76" s="114"/>
      <c r="B76" s="117"/>
      <c r="C76" s="117"/>
      <c r="D76" s="19">
        <f t="shared" si="42"/>
        <v>-1459</v>
      </c>
      <c r="E76" s="106"/>
      <c r="F76" s="107"/>
      <c r="G76" s="26">
        <f t="shared" si="43"/>
        <v>-1459</v>
      </c>
      <c r="H76" s="117"/>
      <c r="I76" s="117"/>
      <c r="J76" s="19">
        <f t="shared" si="44"/>
        <v>-1459</v>
      </c>
      <c r="K76" s="106"/>
      <c r="L76" s="107"/>
      <c r="M76" s="26">
        <f t="shared" si="45"/>
        <v>-1459</v>
      </c>
      <c r="N76" s="117"/>
      <c r="O76" s="117"/>
      <c r="P76" s="38">
        <f t="shared" si="46"/>
        <v>-1459</v>
      </c>
      <c r="Q76" s="106"/>
      <c r="R76" s="107"/>
      <c r="S76" s="26">
        <f t="shared" si="47"/>
        <v>-1459</v>
      </c>
      <c r="T76" s="117"/>
      <c r="U76" s="117"/>
      <c r="V76" s="45">
        <f t="shared" si="48"/>
        <v>-1459</v>
      </c>
      <c r="W76" s="143"/>
    </row>
    <row r="77" spans="1:23" ht="15" customHeight="1">
      <c r="A77" s="114"/>
      <c r="B77" s="117"/>
      <c r="C77" s="117"/>
      <c r="D77" s="19">
        <f t="shared" si="42"/>
        <v>-1459</v>
      </c>
      <c r="E77" s="122"/>
      <c r="F77" s="123"/>
      <c r="G77" s="26">
        <f t="shared" si="43"/>
        <v>-1459</v>
      </c>
      <c r="H77" s="133"/>
      <c r="I77" s="117"/>
      <c r="J77" s="19">
        <f t="shared" si="44"/>
        <v>-1459</v>
      </c>
      <c r="K77" s="122"/>
      <c r="L77" s="123"/>
      <c r="M77" s="26">
        <f t="shared" si="45"/>
        <v>-1459</v>
      </c>
      <c r="N77" s="117"/>
      <c r="O77" s="117"/>
      <c r="P77" s="38">
        <f t="shared" si="46"/>
        <v>-1459</v>
      </c>
      <c r="Q77" s="122"/>
      <c r="R77" s="123"/>
      <c r="S77" s="26">
        <f t="shared" si="47"/>
        <v>-1459</v>
      </c>
      <c r="T77" s="136"/>
      <c r="U77" s="136"/>
      <c r="V77" s="45">
        <f t="shared" si="48"/>
        <v>-1459</v>
      </c>
      <c r="W77" s="143"/>
    </row>
    <row r="78" spans="1:23" ht="15" customHeight="1">
      <c r="A78" s="114"/>
      <c r="B78" s="128"/>
      <c r="C78" s="128"/>
      <c r="D78" s="29">
        <f t="shared" si="42"/>
        <v>-1459</v>
      </c>
      <c r="E78" s="122"/>
      <c r="F78" s="123"/>
      <c r="G78" s="53">
        <f t="shared" si="43"/>
        <v>-1459</v>
      </c>
      <c r="H78" s="140"/>
      <c r="I78" s="128"/>
      <c r="J78" s="29">
        <f t="shared" si="44"/>
        <v>-1459</v>
      </c>
      <c r="K78" s="122"/>
      <c r="L78" s="123"/>
      <c r="M78" s="39">
        <f t="shared" si="45"/>
        <v>-1459</v>
      </c>
      <c r="N78" s="128"/>
      <c r="O78" s="128"/>
      <c r="P78" s="40">
        <f t="shared" si="46"/>
        <v>-1459</v>
      </c>
      <c r="Q78" s="122"/>
      <c r="R78" s="123"/>
      <c r="S78" s="39">
        <f t="shared" si="47"/>
        <v>-1459</v>
      </c>
      <c r="T78" s="141"/>
      <c r="U78" s="141"/>
      <c r="V78" s="46">
        <f t="shared" si="48"/>
        <v>-1459</v>
      </c>
      <c r="W78" s="143"/>
    </row>
    <row r="79" spans="1:23" ht="17.25" customHeight="1">
      <c r="A79" s="87"/>
      <c r="B79" s="77">
        <f ca="1">IFERROR(__xludf.DUMMYFUNCTION("DATE(VALUE(LEFT($B$2,4)),VALUE(MID($B$2,6,2)),VALUE(RIGHT($B$2,2)))
+ (VALUE(REGEXEXTRACT(INDIRECT(""A""&amp;ROW()+1),""\d+""))-1)*7
+ INT((COLUMN()-COLUMN($B79))/3)
"),46796)</f>
        <v>46796</v>
      </c>
      <c r="C79" s="81"/>
      <c r="D79" s="82"/>
      <c r="E79" s="77">
        <f ca="1">IFERROR(__xludf.DUMMYFUNCTION("DATE(VALUE(LEFT($B$2,4)),VALUE(MID($B$2,6,2)),VALUE(RIGHT($B$2,2)))
+ (VALUE(REGEXEXTRACT(INDIRECT(""A""&amp;ROW()+1),""\d+""))-1)*7
+ INT((COLUMN()-COLUMN($B79))/3)
"),46797)</f>
        <v>46797</v>
      </c>
      <c r="F79" s="81"/>
      <c r="G79" s="82"/>
      <c r="H79" s="77">
        <f ca="1">IFERROR(__xludf.DUMMYFUNCTION("DATE(VALUE(LEFT($B$2,4)),VALUE(MID($B$2,6,2)),VALUE(RIGHT($B$2,2)))
+ (VALUE(REGEXEXTRACT(INDIRECT(""A""&amp;ROW()+1),""\d+""))-1)*7
+ INT((COLUMN()-COLUMN($B79))/3)
"),46798)</f>
        <v>46798</v>
      </c>
      <c r="I79" s="81"/>
      <c r="J79" s="82"/>
      <c r="K79" s="77">
        <f ca="1">IFERROR(__xludf.DUMMYFUNCTION("DATE(VALUE(LEFT($B$2,4)),VALUE(MID($B$2,6,2)),VALUE(RIGHT($B$2,2)))
+ (VALUE(REGEXEXTRACT(INDIRECT(""A""&amp;ROW()+1),""\d+""))-1)*7
+ INT((COLUMN()-COLUMN($B79))/3)
"),46799)</f>
        <v>46799</v>
      </c>
      <c r="L79" s="81"/>
      <c r="M79" s="82"/>
      <c r="N79" s="77">
        <f ca="1">IFERROR(__xludf.DUMMYFUNCTION("DATE(VALUE(LEFT($B$2,4)),VALUE(MID($B$2,6,2)),VALUE(RIGHT($B$2,2)))
+ (VALUE(REGEXEXTRACT(INDIRECT(""A""&amp;ROW()+1),""\d+""))-1)*7
+ INT((COLUMN()-COLUMN($B79))/3)
"),46800)</f>
        <v>46800</v>
      </c>
      <c r="O79" s="81"/>
      <c r="P79" s="82"/>
      <c r="Q79" s="77">
        <f ca="1">IFERROR(__xludf.DUMMYFUNCTION("DATE(VALUE(LEFT($B$2,4)),VALUE(MID($B$2,6,2)),VALUE(RIGHT($B$2,2)))
+ (VALUE(REGEXEXTRACT(INDIRECT(""A""&amp;ROW()+1),""\d+""))-1)*7
+ INT((COLUMN()-COLUMN($B79))/3)
"),46801)</f>
        <v>46801</v>
      </c>
      <c r="R79" s="81"/>
      <c r="S79" s="82"/>
      <c r="T79" s="77">
        <f ca="1">IFERROR(__xludf.DUMMYFUNCTION("DATE(VALUE(LEFT($B$2,4)),VALUE(MID($B$2,6,2)),VALUE(RIGHT($B$2,2)))
+ (VALUE(REGEXEXTRACT(INDIRECT(""A""&amp;ROW()+1),""\d+""))-1)*7
+ INT((COLUMN()-COLUMN($B79))/3)
"),46802)</f>
        <v>46802</v>
      </c>
      <c r="U79" s="81"/>
      <c r="V79" s="82"/>
      <c r="W79" s="143"/>
    </row>
    <row r="80" spans="1:23" ht="15" customHeight="1">
      <c r="A80" s="51" t="s">
        <v>143</v>
      </c>
      <c r="B80" s="112"/>
      <c r="C80" s="111"/>
      <c r="D80" s="17">
        <f>V78+C80</f>
        <v>-1459</v>
      </c>
      <c r="E80" s="109"/>
      <c r="F80" s="109"/>
      <c r="G80" s="42">
        <f>D90+F80</f>
        <v>-1459</v>
      </c>
      <c r="H80" s="112"/>
      <c r="I80" s="111"/>
      <c r="J80" s="17">
        <f>G90+I80</f>
        <v>-1459</v>
      </c>
      <c r="K80" s="173"/>
      <c r="L80" s="109"/>
      <c r="M80" s="35">
        <f>J90+L80</f>
        <v>-1459</v>
      </c>
      <c r="N80" s="112"/>
      <c r="O80" s="111"/>
      <c r="P80" s="17">
        <f>M90+O80</f>
        <v>-1459</v>
      </c>
      <c r="Q80" s="109"/>
      <c r="R80" s="109"/>
      <c r="S80" s="35">
        <f>P90+R80</f>
        <v>-1459</v>
      </c>
      <c r="T80" s="112"/>
      <c r="U80" s="111"/>
      <c r="V80" s="48">
        <f>S90+U80</f>
        <v>-1459</v>
      </c>
      <c r="W80" s="143"/>
    </row>
    <row r="81" spans="1:26" ht="15" customHeight="1">
      <c r="A81" s="114"/>
      <c r="B81" s="106"/>
      <c r="C81" s="107"/>
      <c r="D81" s="26">
        <f t="shared" ref="D81:D90" si="49">D80+C81</f>
        <v>-1459</v>
      </c>
      <c r="E81" s="117"/>
      <c r="F81" s="117"/>
      <c r="G81" s="19">
        <f t="shared" ref="G81:G90" si="50">G80+F81</f>
        <v>-1459</v>
      </c>
      <c r="H81" s="106"/>
      <c r="I81" s="107"/>
      <c r="J81" s="26">
        <f t="shared" ref="J81:J90" si="51">J80+I81</f>
        <v>-1459</v>
      </c>
      <c r="K81" s="136"/>
      <c r="L81" s="136"/>
      <c r="M81" s="38">
        <f t="shared" ref="M81:M90" si="52">M80+L81</f>
        <v>-1459</v>
      </c>
      <c r="N81" s="106"/>
      <c r="O81" s="107"/>
      <c r="P81" s="26">
        <f t="shared" ref="P81:P90" si="53">P80+O81</f>
        <v>-1459</v>
      </c>
      <c r="Q81" s="117"/>
      <c r="R81" s="117"/>
      <c r="S81" s="38">
        <f t="shared" ref="S81:S90" si="54">S80+R81</f>
        <v>-1459</v>
      </c>
      <c r="T81" s="106"/>
      <c r="U81" s="107"/>
      <c r="V81" s="20">
        <f t="shared" ref="V81:V90" si="55">V80+U81</f>
        <v>-1459</v>
      </c>
      <c r="W81" s="143"/>
    </row>
    <row r="82" spans="1:26" ht="15" customHeight="1">
      <c r="A82" s="114"/>
      <c r="B82" s="106"/>
      <c r="C82" s="107"/>
      <c r="D82" s="26">
        <f t="shared" si="49"/>
        <v>-1459</v>
      </c>
      <c r="E82" s="117"/>
      <c r="F82" s="117"/>
      <c r="G82" s="19">
        <f t="shared" si="50"/>
        <v>-1459</v>
      </c>
      <c r="H82" s="106"/>
      <c r="I82" s="107"/>
      <c r="J82" s="26">
        <f t="shared" si="51"/>
        <v>-1459</v>
      </c>
      <c r="K82" s="136"/>
      <c r="L82" s="136"/>
      <c r="M82" s="38">
        <f t="shared" si="52"/>
        <v>-1459</v>
      </c>
      <c r="N82" s="106"/>
      <c r="O82" s="107"/>
      <c r="P82" s="26">
        <f t="shared" si="53"/>
        <v>-1459</v>
      </c>
      <c r="Q82" s="117"/>
      <c r="R82" s="117"/>
      <c r="S82" s="38">
        <f t="shared" si="54"/>
        <v>-1459</v>
      </c>
      <c r="T82" s="106"/>
      <c r="U82" s="107"/>
      <c r="V82" s="20">
        <f t="shared" si="55"/>
        <v>-1459</v>
      </c>
      <c r="W82" s="143"/>
    </row>
    <row r="83" spans="1:26" ht="15" customHeight="1">
      <c r="A83" s="114"/>
      <c r="B83" s="106"/>
      <c r="C83" s="107"/>
      <c r="D83" s="26">
        <f t="shared" si="49"/>
        <v>-1459</v>
      </c>
      <c r="E83" s="117"/>
      <c r="F83" s="117"/>
      <c r="G83" s="19">
        <f t="shared" si="50"/>
        <v>-1459</v>
      </c>
      <c r="H83" s="106"/>
      <c r="I83" s="107"/>
      <c r="J83" s="26">
        <f t="shared" si="51"/>
        <v>-1459</v>
      </c>
      <c r="K83" s="136"/>
      <c r="L83" s="136"/>
      <c r="M83" s="38">
        <f t="shared" si="52"/>
        <v>-1459</v>
      </c>
      <c r="N83" s="106"/>
      <c r="O83" s="107"/>
      <c r="P83" s="26">
        <f t="shared" si="53"/>
        <v>-1459</v>
      </c>
      <c r="Q83" s="117"/>
      <c r="R83" s="117"/>
      <c r="S83" s="38">
        <f t="shared" si="54"/>
        <v>-1459</v>
      </c>
      <c r="T83" s="106"/>
      <c r="U83" s="107"/>
      <c r="V83" s="20">
        <f t="shared" si="55"/>
        <v>-1459</v>
      </c>
      <c r="W83" s="143"/>
    </row>
    <row r="84" spans="1:26" ht="15" customHeight="1">
      <c r="A84" s="114"/>
      <c r="B84" s="106"/>
      <c r="C84" s="107"/>
      <c r="D84" s="26">
        <f t="shared" si="49"/>
        <v>-1459</v>
      </c>
      <c r="E84" s="117"/>
      <c r="F84" s="117"/>
      <c r="G84" s="19">
        <f t="shared" si="50"/>
        <v>-1459</v>
      </c>
      <c r="H84" s="106"/>
      <c r="I84" s="107"/>
      <c r="J84" s="26">
        <f t="shared" si="51"/>
        <v>-1459</v>
      </c>
      <c r="K84" s="136"/>
      <c r="L84" s="136"/>
      <c r="M84" s="38">
        <f t="shared" si="52"/>
        <v>-1459</v>
      </c>
      <c r="N84" s="106"/>
      <c r="O84" s="107"/>
      <c r="P84" s="26">
        <f t="shared" si="53"/>
        <v>-1459</v>
      </c>
      <c r="Q84" s="117"/>
      <c r="R84" s="117"/>
      <c r="S84" s="38">
        <f t="shared" si="54"/>
        <v>-1459</v>
      </c>
      <c r="T84" s="106"/>
      <c r="U84" s="107"/>
      <c r="V84" s="20">
        <f t="shared" si="55"/>
        <v>-1459</v>
      </c>
      <c r="W84" s="143"/>
    </row>
    <row r="85" spans="1:26" ht="15" customHeight="1">
      <c r="A85" s="114"/>
      <c r="B85" s="106"/>
      <c r="C85" s="107"/>
      <c r="D85" s="26">
        <f t="shared" si="49"/>
        <v>-1459</v>
      </c>
      <c r="E85" s="117"/>
      <c r="F85" s="117"/>
      <c r="G85" s="19">
        <f t="shared" si="50"/>
        <v>-1459</v>
      </c>
      <c r="H85" s="106"/>
      <c r="I85" s="107"/>
      <c r="J85" s="26">
        <f t="shared" si="51"/>
        <v>-1459</v>
      </c>
      <c r="K85" s="136"/>
      <c r="L85" s="136"/>
      <c r="M85" s="38">
        <f t="shared" si="52"/>
        <v>-1459</v>
      </c>
      <c r="N85" s="106"/>
      <c r="O85" s="107"/>
      <c r="P85" s="26">
        <f t="shared" si="53"/>
        <v>-1459</v>
      </c>
      <c r="Q85" s="117"/>
      <c r="R85" s="117"/>
      <c r="S85" s="38">
        <f t="shared" si="54"/>
        <v>-1459</v>
      </c>
      <c r="T85" s="106"/>
      <c r="U85" s="116"/>
      <c r="V85" s="20">
        <f t="shared" si="55"/>
        <v>-1459</v>
      </c>
      <c r="W85" s="143"/>
    </row>
    <row r="86" spans="1:26" ht="15" customHeight="1">
      <c r="A86" s="114"/>
      <c r="B86" s="106"/>
      <c r="C86" s="107"/>
      <c r="D86" s="26">
        <f t="shared" si="49"/>
        <v>-1459</v>
      </c>
      <c r="E86" s="117"/>
      <c r="F86" s="117"/>
      <c r="G86" s="19">
        <f t="shared" si="50"/>
        <v>-1459</v>
      </c>
      <c r="H86" s="106"/>
      <c r="I86" s="107"/>
      <c r="J86" s="26">
        <f t="shared" si="51"/>
        <v>-1459</v>
      </c>
      <c r="K86" s="136"/>
      <c r="L86" s="136"/>
      <c r="M86" s="38">
        <f t="shared" si="52"/>
        <v>-1459</v>
      </c>
      <c r="N86" s="106"/>
      <c r="O86" s="107"/>
      <c r="P86" s="26">
        <f t="shared" si="53"/>
        <v>-1459</v>
      </c>
      <c r="Q86" s="117"/>
      <c r="R86" s="117"/>
      <c r="S86" s="38">
        <f t="shared" si="54"/>
        <v>-1459</v>
      </c>
      <c r="T86" s="106"/>
      <c r="U86" s="116"/>
      <c r="V86" s="20">
        <f t="shared" si="55"/>
        <v>-1459</v>
      </c>
      <c r="W86" s="143"/>
    </row>
    <row r="87" spans="1:26" ht="15" customHeight="1">
      <c r="A87" s="114"/>
      <c r="B87" s="106"/>
      <c r="C87" s="107"/>
      <c r="D87" s="26">
        <f t="shared" si="49"/>
        <v>-1459</v>
      </c>
      <c r="E87" s="117"/>
      <c r="F87" s="117"/>
      <c r="G87" s="19">
        <f t="shared" si="50"/>
        <v>-1459</v>
      </c>
      <c r="H87" s="106"/>
      <c r="I87" s="107"/>
      <c r="J87" s="26">
        <f t="shared" si="51"/>
        <v>-1459</v>
      </c>
      <c r="K87" s="133"/>
      <c r="L87" s="117"/>
      <c r="M87" s="38">
        <f t="shared" si="52"/>
        <v>-1459</v>
      </c>
      <c r="N87" s="106"/>
      <c r="O87" s="107"/>
      <c r="P87" s="26">
        <f t="shared" si="53"/>
        <v>-1459</v>
      </c>
      <c r="Q87" s="117"/>
      <c r="R87" s="117"/>
      <c r="S87" s="38">
        <f t="shared" si="54"/>
        <v>-1459</v>
      </c>
      <c r="T87" s="106"/>
      <c r="U87" s="116"/>
      <c r="V87" s="20">
        <f t="shared" si="55"/>
        <v>-1459</v>
      </c>
      <c r="W87" s="143"/>
    </row>
    <row r="88" spans="1:26" ht="15" customHeight="1">
      <c r="A88" s="114"/>
      <c r="B88" s="106"/>
      <c r="C88" s="107"/>
      <c r="D88" s="26">
        <f t="shared" si="49"/>
        <v>-1459</v>
      </c>
      <c r="E88" s="117"/>
      <c r="F88" s="117"/>
      <c r="G88" s="19">
        <f t="shared" si="50"/>
        <v>-1459</v>
      </c>
      <c r="H88" s="122"/>
      <c r="I88" s="123"/>
      <c r="J88" s="26">
        <f t="shared" si="51"/>
        <v>-1459</v>
      </c>
      <c r="K88" s="117"/>
      <c r="L88" s="117"/>
      <c r="M88" s="38">
        <f t="shared" si="52"/>
        <v>-1459</v>
      </c>
      <c r="N88" s="122"/>
      <c r="O88" s="123"/>
      <c r="P88" s="26">
        <f t="shared" si="53"/>
        <v>-1459</v>
      </c>
      <c r="Q88" s="117"/>
      <c r="R88" s="117"/>
      <c r="S88" s="38">
        <f t="shared" si="54"/>
        <v>-1459</v>
      </c>
      <c r="T88" s="106"/>
      <c r="U88" s="116"/>
      <c r="V88" s="20">
        <f t="shared" si="55"/>
        <v>-1459</v>
      </c>
      <c r="W88" s="143"/>
    </row>
    <row r="89" spans="1:26" ht="15" customHeight="1">
      <c r="A89" s="114"/>
      <c r="B89" s="106"/>
      <c r="C89" s="107"/>
      <c r="D89" s="26">
        <f t="shared" si="49"/>
        <v>-1459</v>
      </c>
      <c r="E89" s="117"/>
      <c r="F89" s="117"/>
      <c r="G89" s="19">
        <f t="shared" si="50"/>
        <v>-1459</v>
      </c>
      <c r="H89" s="122"/>
      <c r="I89" s="123"/>
      <c r="J89" s="26">
        <f t="shared" si="51"/>
        <v>-1459</v>
      </c>
      <c r="K89" s="117"/>
      <c r="L89" s="117"/>
      <c r="M89" s="38">
        <f t="shared" si="52"/>
        <v>-1459</v>
      </c>
      <c r="N89" s="122"/>
      <c r="O89" s="123"/>
      <c r="P89" s="26">
        <f t="shared" si="53"/>
        <v>-1459</v>
      </c>
      <c r="Q89" s="117"/>
      <c r="R89" s="117"/>
      <c r="S89" s="38">
        <f t="shared" si="54"/>
        <v>-1459</v>
      </c>
      <c r="T89" s="122"/>
      <c r="U89" s="124"/>
      <c r="V89" s="20">
        <f t="shared" si="55"/>
        <v>-1459</v>
      </c>
      <c r="W89" s="143"/>
    </row>
    <row r="90" spans="1:26" ht="15" customHeight="1">
      <c r="A90" s="114"/>
      <c r="B90" s="122"/>
      <c r="C90" s="123"/>
      <c r="D90" s="39">
        <f t="shared" si="49"/>
        <v>-1459</v>
      </c>
      <c r="E90" s="128"/>
      <c r="F90" s="128"/>
      <c r="G90" s="29">
        <f t="shared" si="50"/>
        <v>-1459</v>
      </c>
      <c r="H90" s="122"/>
      <c r="I90" s="123"/>
      <c r="J90" s="39">
        <f t="shared" si="51"/>
        <v>-1459</v>
      </c>
      <c r="K90" s="128"/>
      <c r="L90" s="128"/>
      <c r="M90" s="40">
        <f t="shared" si="52"/>
        <v>-1459</v>
      </c>
      <c r="N90" s="122"/>
      <c r="O90" s="123"/>
      <c r="P90" s="39">
        <f t="shared" si="53"/>
        <v>-1459</v>
      </c>
      <c r="Q90" s="128"/>
      <c r="R90" s="128"/>
      <c r="S90" s="40">
        <f t="shared" si="54"/>
        <v>-1459</v>
      </c>
      <c r="T90" s="122"/>
      <c r="U90" s="123"/>
      <c r="V90" s="39">
        <f t="shared" si="55"/>
        <v>-1459</v>
      </c>
      <c r="W90" s="143"/>
    </row>
    <row r="91" spans="1:26" ht="15.75" customHeight="1">
      <c r="A91" s="87"/>
      <c r="B91" s="77">
        <f ca="1">IFERROR(__xludf.DUMMYFUNCTION("DATE(VALUE(LEFT($B$2,4)),VALUE(MID($B$2,6,2)),VALUE(RIGHT($B$2,2)))
+ (VALUE(REGEXEXTRACT(INDIRECT(""A""&amp;ROW()+1),""\d+""))-1)*7
+ INT((COLUMN()-COLUMN($B91))/3)
"),46803)</f>
        <v>46803</v>
      </c>
      <c r="C91" s="81"/>
      <c r="D91" s="82"/>
      <c r="E91" s="77">
        <f ca="1">IFERROR(__xludf.DUMMYFUNCTION("DATE(VALUE(LEFT($B$2,4)),VALUE(MID($B$2,6,2)),VALUE(RIGHT($B$2,2)))
+ (VALUE(REGEXEXTRACT(INDIRECT(""A""&amp;ROW()+1),""\d+""))-1)*7
+ INT((COLUMN()-COLUMN($B91))/3)
"),46804)</f>
        <v>46804</v>
      </c>
      <c r="F91" s="81"/>
      <c r="G91" s="82"/>
      <c r="H91" s="77">
        <f ca="1">IFERROR(__xludf.DUMMYFUNCTION("DATE(VALUE(LEFT($B$2,4)),VALUE(MID($B$2,6,2)),VALUE(RIGHT($B$2,2)))
+ (VALUE(REGEXEXTRACT(INDIRECT(""A""&amp;ROW()+1),""\d+""))-1)*7
+ INT((COLUMN()-COLUMN($B91))/3)
"),46805)</f>
        <v>46805</v>
      </c>
      <c r="I91" s="81"/>
      <c r="J91" s="82"/>
      <c r="K91" s="77">
        <f ca="1">IFERROR(__xludf.DUMMYFUNCTION("DATE(VALUE(LEFT($B$2,4)),VALUE(MID($B$2,6,2)),VALUE(RIGHT($B$2,2)))
+ (VALUE(REGEXEXTRACT(INDIRECT(""A""&amp;ROW()+1),""\d+""))-1)*7
+ INT((COLUMN()-COLUMN($B91))/3)
"),46806)</f>
        <v>46806</v>
      </c>
      <c r="L91" s="81"/>
      <c r="M91" s="82"/>
      <c r="N91" s="77">
        <f ca="1">IFERROR(__xludf.DUMMYFUNCTION("DATE(VALUE(LEFT($B$2,4)),VALUE(MID($B$2,6,2)),VALUE(RIGHT($B$2,2)))
+ (VALUE(REGEXEXTRACT(INDIRECT(""A""&amp;ROW()+1),""\d+""))-1)*7
+ INT((COLUMN()-COLUMN($B91))/3)
"),46807)</f>
        <v>46807</v>
      </c>
      <c r="O91" s="81"/>
      <c r="P91" s="82"/>
      <c r="Q91" s="77">
        <f ca="1">IFERROR(__xludf.DUMMYFUNCTION("DATE(VALUE(LEFT($B$2,4)),VALUE(MID($B$2,6,2)),VALUE(RIGHT($B$2,2)))
+ (VALUE(REGEXEXTRACT(INDIRECT(""A""&amp;ROW()+1),""\d+""))-1)*7
+ INT((COLUMN()-COLUMN($B91))/3)
"),46808)</f>
        <v>46808</v>
      </c>
      <c r="R91" s="81"/>
      <c r="S91" s="82"/>
      <c r="T91" s="77">
        <f ca="1">IFERROR(__xludf.DUMMYFUNCTION("DATE(VALUE(LEFT($B$2,4)),VALUE(MID($B$2,6,2)),VALUE(RIGHT($B$2,2)))
+ (VALUE(REGEXEXTRACT(INDIRECT(""A""&amp;ROW()+1),""\d+""))-1)*7
+ INT((COLUMN()-COLUMN($B91))/3)
"),46809)</f>
        <v>46809</v>
      </c>
      <c r="U91" s="81"/>
      <c r="V91" s="82"/>
      <c r="W91" s="52" t="s">
        <v>20</v>
      </c>
      <c r="X91" s="4"/>
      <c r="Y91" s="4"/>
      <c r="Z91" s="4"/>
    </row>
    <row r="92" spans="1:26" ht="15.75" customHeight="1">
      <c r="A92" s="47" t="s">
        <v>144</v>
      </c>
      <c r="B92" s="109"/>
      <c r="C92" s="109"/>
      <c r="D92" s="42">
        <f>V90+C92</f>
        <v>-1459</v>
      </c>
      <c r="E92" s="112"/>
      <c r="F92" s="111"/>
      <c r="G92" s="36">
        <f>D102+F92</f>
        <v>-1459</v>
      </c>
      <c r="H92" s="109"/>
      <c r="I92" s="109"/>
      <c r="J92" s="42">
        <f>G102+I92</f>
        <v>-1459</v>
      </c>
      <c r="K92" s="112"/>
      <c r="L92" s="111"/>
      <c r="M92" s="18">
        <f>J102+L92</f>
        <v>-1459</v>
      </c>
      <c r="N92" s="113"/>
      <c r="O92" s="109"/>
      <c r="P92" s="35">
        <f>M102+O92</f>
        <v>-1459</v>
      </c>
      <c r="Q92" s="110"/>
      <c r="R92" s="111"/>
      <c r="S92" s="18">
        <f>P102+R92</f>
        <v>-1459</v>
      </c>
      <c r="T92" s="113"/>
      <c r="U92" s="109"/>
      <c r="V92" s="50">
        <f>S102+U92</f>
        <v>-1459</v>
      </c>
      <c r="W92" s="172"/>
      <c r="X92" s="4"/>
      <c r="Y92" s="4"/>
      <c r="Z92" s="4"/>
    </row>
    <row r="93" spans="1:26" ht="15.75" customHeight="1">
      <c r="A93" s="114"/>
      <c r="B93" s="117"/>
      <c r="C93" s="117"/>
      <c r="D93" s="19">
        <f t="shared" ref="D93:D102" si="56">D92+C93</f>
        <v>-1459</v>
      </c>
      <c r="E93" s="106"/>
      <c r="F93" s="107"/>
      <c r="G93" s="26">
        <f t="shared" ref="G93:G102" si="57">G92+F93</f>
        <v>-1459</v>
      </c>
      <c r="H93" s="117"/>
      <c r="I93" s="117"/>
      <c r="J93" s="19">
        <f t="shared" ref="J93:J102" si="58">J92+I93</f>
        <v>-1459</v>
      </c>
      <c r="K93" s="106"/>
      <c r="L93" s="107"/>
      <c r="M93" s="26">
        <f t="shared" ref="M93:M102" si="59">M92+L93</f>
        <v>-1459</v>
      </c>
      <c r="N93" s="118"/>
      <c r="O93" s="117"/>
      <c r="P93" s="19">
        <f t="shared" ref="P93:P102" si="60">P92+O93</f>
        <v>-1459</v>
      </c>
      <c r="Q93" s="116"/>
      <c r="R93" s="107"/>
      <c r="S93" s="26">
        <f t="shared" ref="S93:S102" si="61">S92+R93</f>
        <v>-1459</v>
      </c>
      <c r="T93" s="136"/>
      <c r="U93" s="136"/>
      <c r="V93" s="45">
        <f t="shared" ref="V93:V102" si="62">V92+U93</f>
        <v>-1459</v>
      </c>
      <c r="W93" s="143"/>
      <c r="X93" s="4"/>
      <c r="Y93" s="4"/>
      <c r="Z93" s="4"/>
    </row>
    <row r="94" spans="1:26" ht="15.75" customHeight="1">
      <c r="A94" s="114"/>
      <c r="B94" s="117"/>
      <c r="C94" s="117"/>
      <c r="D94" s="19">
        <f t="shared" si="56"/>
        <v>-1459</v>
      </c>
      <c r="E94" s="106"/>
      <c r="F94" s="107"/>
      <c r="G94" s="26">
        <f t="shared" si="57"/>
        <v>-1459</v>
      </c>
      <c r="H94" s="117"/>
      <c r="I94" s="117"/>
      <c r="J94" s="19">
        <f t="shared" si="58"/>
        <v>-1459</v>
      </c>
      <c r="K94" s="106"/>
      <c r="L94" s="107"/>
      <c r="M94" s="26">
        <f t="shared" si="59"/>
        <v>-1459</v>
      </c>
      <c r="N94" s="117"/>
      <c r="O94" s="117"/>
      <c r="P94" s="19">
        <f t="shared" si="60"/>
        <v>-1459</v>
      </c>
      <c r="Q94" s="116"/>
      <c r="R94" s="107"/>
      <c r="S94" s="26">
        <f t="shared" si="61"/>
        <v>-1459</v>
      </c>
      <c r="T94" s="136"/>
      <c r="U94" s="136"/>
      <c r="V94" s="45">
        <f t="shared" si="62"/>
        <v>-1459</v>
      </c>
      <c r="W94" s="143"/>
      <c r="X94" s="4"/>
      <c r="Y94" s="4"/>
      <c r="Z94" s="4"/>
    </row>
    <row r="95" spans="1:26" ht="15.75" customHeight="1">
      <c r="A95" s="114"/>
      <c r="B95" s="117"/>
      <c r="C95" s="117"/>
      <c r="D95" s="19">
        <f t="shared" si="56"/>
        <v>-1459</v>
      </c>
      <c r="E95" s="106"/>
      <c r="F95" s="107"/>
      <c r="G95" s="26">
        <f t="shared" si="57"/>
        <v>-1459</v>
      </c>
      <c r="H95" s="117"/>
      <c r="I95" s="117"/>
      <c r="J95" s="19">
        <f t="shared" si="58"/>
        <v>-1459</v>
      </c>
      <c r="K95" s="106"/>
      <c r="L95" s="107"/>
      <c r="M95" s="26">
        <f t="shared" si="59"/>
        <v>-1459</v>
      </c>
      <c r="N95" s="117"/>
      <c r="O95" s="117"/>
      <c r="P95" s="19">
        <f t="shared" si="60"/>
        <v>-1459</v>
      </c>
      <c r="Q95" s="116"/>
      <c r="R95" s="107"/>
      <c r="S95" s="26">
        <f t="shared" si="61"/>
        <v>-1459</v>
      </c>
      <c r="T95" s="136"/>
      <c r="U95" s="136"/>
      <c r="V95" s="45">
        <f t="shared" si="62"/>
        <v>-1459</v>
      </c>
      <c r="W95" s="143"/>
      <c r="X95" s="4"/>
      <c r="Y95" s="4"/>
      <c r="Z95" s="4"/>
    </row>
    <row r="96" spans="1:26" ht="15.75" customHeight="1">
      <c r="A96" s="114"/>
      <c r="B96" s="117"/>
      <c r="C96" s="117"/>
      <c r="D96" s="19">
        <f t="shared" si="56"/>
        <v>-1459</v>
      </c>
      <c r="E96" s="106"/>
      <c r="F96" s="107"/>
      <c r="G96" s="26">
        <f t="shared" si="57"/>
        <v>-1459</v>
      </c>
      <c r="H96" s="117"/>
      <c r="I96" s="117"/>
      <c r="J96" s="19">
        <f t="shared" si="58"/>
        <v>-1459</v>
      </c>
      <c r="K96" s="106"/>
      <c r="L96" s="107"/>
      <c r="M96" s="26">
        <f t="shared" si="59"/>
        <v>-1459</v>
      </c>
      <c r="N96" s="117"/>
      <c r="O96" s="117"/>
      <c r="P96" s="19">
        <f t="shared" si="60"/>
        <v>-1459</v>
      </c>
      <c r="Q96" s="116"/>
      <c r="R96" s="107"/>
      <c r="S96" s="26">
        <f t="shared" si="61"/>
        <v>-1459</v>
      </c>
      <c r="T96" s="136"/>
      <c r="U96" s="136"/>
      <c r="V96" s="45">
        <f t="shared" si="62"/>
        <v>-1459</v>
      </c>
      <c r="W96" s="143"/>
      <c r="X96" s="4"/>
      <c r="Y96" s="4"/>
      <c r="Z96" s="4"/>
    </row>
    <row r="97" spans="1:26" ht="15.75" customHeight="1">
      <c r="A97" s="114"/>
      <c r="B97" s="118"/>
      <c r="C97" s="117"/>
      <c r="D97" s="19">
        <f t="shared" si="56"/>
        <v>-1459</v>
      </c>
      <c r="E97" s="106"/>
      <c r="F97" s="107"/>
      <c r="G97" s="26">
        <f t="shared" si="57"/>
        <v>-1459</v>
      </c>
      <c r="H97" s="133"/>
      <c r="I97" s="117"/>
      <c r="J97" s="19">
        <f t="shared" si="58"/>
        <v>-1459</v>
      </c>
      <c r="K97" s="106"/>
      <c r="L97" s="107"/>
      <c r="M97" s="26">
        <f t="shared" si="59"/>
        <v>-1459</v>
      </c>
      <c r="N97" s="117"/>
      <c r="O97" s="117"/>
      <c r="P97" s="19">
        <f t="shared" si="60"/>
        <v>-1459</v>
      </c>
      <c r="Q97" s="106"/>
      <c r="R97" s="107"/>
      <c r="S97" s="26">
        <f t="shared" si="61"/>
        <v>-1459</v>
      </c>
      <c r="T97" s="136"/>
      <c r="U97" s="136"/>
      <c r="V97" s="45">
        <f t="shared" si="62"/>
        <v>-1459</v>
      </c>
      <c r="W97" s="143"/>
      <c r="X97" s="4"/>
      <c r="Y97" s="4"/>
      <c r="Z97" s="4"/>
    </row>
    <row r="98" spans="1:26" ht="15.75" customHeight="1">
      <c r="A98" s="114"/>
      <c r="B98" s="117"/>
      <c r="C98" s="117"/>
      <c r="D98" s="19">
        <f t="shared" si="56"/>
        <v>-1459</v>
      </c>
      <c r="E98" s="106"/>
      <c r="F98" s="107"/>
      <c r="G98" s="26">
        <f t="shared" si="57"/>
        <v>-1459</v>
      </c>
      <c r="H98" s="133"/>
      <c r="I98" s="117"/>
      <c r="J98" s="19">
        <f t="shared" si="58"/>
        <v>-1459</v>
      </c>
      <c r="K98" s="106"/>
      <c r="L98" s="107"/>
      <c r="M98" s="26">
        <f t="shared" si="59"/>
        <v>-1459</v>
      </c>
      <c r="N98" s="117"/>
      <c r="O98" s="117"/>
      <c r="P98" s="38">
        <f t="shared" si="60"/>
        <v>-1459</v>
      </c>
      <c r="Q98" s="106"/>
      <c r="R98" s="107"/>
      <c r="S98" s="26">
        <f t="shared" si="61"/>
        <v>-1459</v>
      </c>
      <c r="T98" s="136"/>
      <c r="U98" s="136"/>
      <c r="V98" s="45">
        <f t="shared" si="62"/>
        <v>-1459</v>
      </c>
      <c r="W98" s="143"/>
      <c r="X98" s="4"/>
      <c r="Y98" s="4"/>
      <c r="Z98" s="4"/>
    </row>
    <row r="99" spans="1:26" ht="15.75" customHeight="1">
      <c r="A99" s="114"/>
      <c r="B99" s="117"/>
      <c r="C99" s="117"/>
      <c r="D99" s="19">
        <f t="shared" si="56"/>
        <v>-1459</v>
      </c>
      <c r="E99" s="106"/>
      <c r="F99" s="107"/>
      <c r="G99" s="26">
        <f t="shared" si="57"/>
        <v>-1459</v>
      </c>
      <c r="H99" s="133"/>
      <c r="I99" s="117"/>
      <c r="J99" s="19">
        <f t="shared" si="58"/>
        <v>-1459</v>
      </c>
      <c r="K99" s="106"/>
      <c r="L99" s="107"/>
      <c r="M99" s="26">
        <f t="shared" si="59"/>
        <v>-1459</v>
      </c>
      <c r="N99" s="117"/>
      <c r="O99" s="117"/>
      <c r="P99" s="38">
        <f t="shared" si="60"/>
        <v>-1459</v>
      </c>
      <c r="Q99" s="106"/>
      <c r="R99" s="107"/>
      <c r="S99" s="26">
        <f t="shared" si="61"/>
        <v>-1459</v>
      </c>
      <c r="T99" s="136"/>
      <c r="U99" s="136"/>
      <c r="V99" s="45">
        <f t="shared" si="62"/>
        <v>-1459</v>
      </c>
      <c r="W99" s="143"/>
      <c r="X99" s="4"/>
      <c r="Y99" s="4"/>
      <c r="Z99" s="4"/>
    </row>
    <row r="100" spans="1:26" ht="15.75" customHeight="1">
      <c r="A100" s="114"/>
      <c r="B100" s="117"/>
      <c r="C100" s="117"/>
      <c r="D100" s="19">
        <f t="shared" si="56"/>
        <v>-1459</v>
      </c>
      <c r="E100" s="106"/>
      <c r="F100" s="107"/>
      <c r="G100" s="26">
        <f t="shared" si="57"/>
        <v>-1459</v>
      </c>
      <c r="H100" s="133"/>
      <c r="I100" s="117"/>
      <c r="J100" s="19">
        <f t="shared" si="58"/>
        <v>-1459</v>
      </c>
      <c r="K100" s="106"/>
      <c r="L100" s="107"/>
      <c r="M100" s="26">
        <f t="shared" si="59"/>
        <v>-1459</v>
      </c>
      <c r="N100" s="117"/>
      <c r="O100" s="117"/>
      <c r="P100" s="38">
        <f t="shared" si="60"/>
        <v>-1459</v>
      </c>
      <c r="Q100" s="106"/>
      <c r="R100" s="107"/>
      <c r="S100" s="26">
        <f t="shared" si="61"/>
        <v>-1459</v>
      </c>
      <c r="T100" s="136"/>
      <c r="U100" s="136"/>
      <c r="V100" s="45">
        <f t="shared" si="62"/>
        <v>-1459</v>
      </c>
      <c r="W100" s="143"/>
      <c r="X100" s="4"/>
      <c r="Y100" s="4"/>
      <c r="Z100" s="4"/>
    </row>
    <row r="101" spans="1:26" ht="15.75" customHeight="1">
      <c r="A101" s="114"/>
      <c r="B101" s="117"/>
      <c r="C101" s="117"/>
      <c r="D101" s="19">
        <f t="shared" si="56"/>
        <v>-1459</v>
      </c>
      <c r="E101" s="122"/>
      <c r="F101" s="123"/>
      <c r="G101" s="26">
        <f t="shared" si="57"/>
        <v>-1459</v>
      </c>
      <c r="H101" s="133"/>
      <c r="I101" s="117"/>
      <c r="J101" s="19">
        <f t="shared" si="58"/>
        <v>-1459</v>
      </c>
      <c r="K101" s="122"/>
      <c r="L101" s="123"/>
      <c r="M101" s="26">
        <f t="shared" si="59"/>
        <v>-1459</v>
      </c>
      <c r="N101" s="117"/>
      <c r="O101" s="117"/>
      <c r="P101" s="38">
        <f t="shared" si="60"/>
        <v>-1459</v>
      </c>
      <c r="Q101" s="122"/>
      <c r="R101" s="123"/>
      <c r="S101" s="26">
        <f t="shared" si="61"/>
        <v>-1459</v>
      </c>
      <c r="T101" s="136"/>
      <c r="U101" s="136"/>
      <c r="V101" s="45">
        <f t="shared" si="62"/>
        <v>-1459</v>
      </c>
      <c r="W101" s="143"/>
      <c r="X101" s="4"/>
      <c r="Y101" s="4"/>
      <c r="Z101" s="4"/>
    </row>
    <row r="102" spans="1:26" ht="15.75" customHeight="1">
      <c r="A102" s="114"/>
      <c r="B102" s="128"/>
      <c r="C102" s="128"/>
      <c r="D102" s="29">
        <f t="shared" si="56"/>
        <v>-1459</v>
      </c>
      <c r="E102" s="122"/>
      <c r="F102" s="123"/>
      <c r="G102" s="53">
        <f t="shared" si="57"/>
        <v>-1459</v>
      </c>
      <c r="H102" s="140"/>
      <c r="I102" s="128"/>
      <c r="J102" s="29">
        <f t="shared" si="58"/>
        <v>-1459</v>
      </c>
      <c r="K102" s="122"/>
      <c r="L102" s="123"/>
      <c r="M102" s="39">
        <f t="shared" si="59"/>
        <v>-1459</v>
      </c>
      <c r="N102" s="128"/>
      <c r="O102" s="128"/>
      <c r="P102" s="40">
        <f t="shared" si="60"/>
        <v>-1459</v>
      </c>
      <c r="Q102" s="122"/>
      <c r="R102" s="123"/>
      <c r="S102" s="39">
        <f t="shared" si="61"/>
        <v>-1459</v>
      </c>
      <c r="T102" s="141"/>
      <c r="U102" s="141"/>
      <c r="V102" s="46">
        <f t="shared" si="62"/>
        <v>-1459</v>
      </c>
      <c r="W102" s="143"/>
      <c r="X102" s="4"/>
      <c r="Y102" s="4"/>
      <c r="Z102" s="4"/>
    </row>
    <row r="103" spans="1:26" ht="15.75" customHeight="1">
      <c r="A103" s="87"/>
      <c r="B103" s="77">
        <f ca="1">IFERROR(__xludf.DUMMYFUNCTION("DATE(VALUE(LEFT($B$2,4)),VALUE(MID($B$2,6,2)),VALUE(RIGHT($B$2,2)))
+ (VALUE(REGEXEXTRACT(INDIRECT(""A""&amp;ROW()+1),""\d+""))-1)*7
+ INT((COLUMN()-COLUMN($B103))/3)
"),46810)</f>
        <v>46810</v>
      </c>
      <c r="C103" s="81"/>
      <c r="D103" s="82"/>
      <c r="E103" s="77">
        <f ca="1">IFERROR(__xludf.DUMMYFUNCTION("DATE(VALUE(LEFT($B$2,4)),VALUE(MID($B$2,6,2)),VALUE(RIGHT($B$2,2)))
+ (VALUE(REGEXEXTRACT(INDIRECT(""A""&amp;ROW()+1),""\d+""))-1)*7
+ INT((COLUMN()-COLUMN($B103))/3)
"),46811)</f>
        <v>46811</v>
      </c>
      <c r="F103" s="81"/>
      <c r="G103" s="82"/>
      <c r="H103" s="77">
        <f ca="1">IFERROR(__xludf.DUMMYFUNCTION("DATE(VALUE(LEFT($B$2,4)),VALUE(MID($B$2,6,2)),VALUE(RIGHT($B$2,2)))
+ (VALUE(REGEXEXTRACT(INDIRECT(""A""&amp;ROW()+1),""\d+""))-1)*7
+ INT((COLUMN()-COLUMN($B103))/3)
"),46812)</f>
        <v>46812</v>
      </c>
      <c r="I103" s="81"/>
      <c r="J103" s="82"/>
      <c r="K103" s="77">
        <f ca="1">IFERROR(__xludf.DUMMYFUNCTION("DATE(VALUE(LEFT($B$2,4)),VALUE(MID($B$2,6,2)),VALUE(RIGHT($B$2,2)))
+ (VALUE(REGEXEXTRACT(INDIRECT(""A""&amp;ROW()+1),""\d+""))-1)*7
+ INT((COLUMN()-COLUMN($B103))/3)
"),46813)</f>
        <v>46813</v>
      </c>
      <c r="L103" s="81"/>
      <c r="M103" s="82"/>
      <c r="N103" s="77">
        <f ca="1">IFERROR(__xludf.DUMMYFUNCTION("DATE(VALUE(LEFT($B$2,4)),VALUE(MID($B$2,6,2)),VALUE(RIGHT($B$2,2)))
+ (VALUE(REGEXEXTRACT(INDIRECT(""A""&amp;ROW()+1),""\d+""))-1)*7
+ INT((COLUMN()-COLUMN($B103))/3)
"),46814)</f>
        <v>46814</v>
      </c>
      <c r="O103" s="81"/>
      <c r="P103" s="82"/>
      <c r="Q103" s="77">
        <f ca="1">IFERROR(__xludf.DUMMYFUNCTION("DATE(VALUE(LEFT($B$2,4)),VALUE(MID($B$2,6,2)),VALUE(RIGHT($B$2,2)))
+ (VALUE(REGEXEXTRACT(INDIRECT(""A""&amp;ROW()+1),""\d+""))-1)*7
+ INT((COLUMN()-COLUMN($B103))/3)
"),46815)</f>
        <v>46815</v>
      </c>
      <c r="R103" s="81"/>
      <c r="S103" s="82"/>
      <c r="T103" s="77">
        <f ca="1">IFERROR(__xludf.DUMMYFUNCTION("DATE(VALUE(LEFT($B$2,4)),VALUE(MID($B$2,6,2)),VALUE(RIGHT($B$2,2)))
+ (VALUE(REGEXEXTRACT(INDIRECT(""A""&amp;ROW()+1),""\d+""))-1)*7
+ INT((COLUMN()-COLUMN($B103))/3)
"),46816)</f>
        <v>46816</v>
      </c>
      <c r="U103" s="81"/>
      <c r="V103" s="82"/>
      <c r="W103" s="143"/>
      <c r="X103" s="4"/>
      <c r="Y103" s="4"/>
      <c r="Z103" s="4"/>
    </row>
    <row r="104" spans="1:26" ht="15.75" customHeight="1">
      <c r="A104" s="51" t="s">
        <v>145</v>
      </c>
      <c r="B104" s="112"/>
      <c r="C104" s="111"/>
      <c r="D104" s="17">
        <f>V102+C104</f>
        <v>-1459</v>
      </c>
      <c r="E104" s="109"/>
      <c r="F104" s="109"/>
      <c r="G104" s="54">
        <f>D114+F104</f>
        <v>-1459</v>
      </c>
      <c r="H104" s="112"/>
      <c r="I104" s="111"/>
      <c r="J104" s="17">
        <f>G114+I104</f>
        <v>-1459</v>
      </c>
      <c r="K104" s="109"/>
      <c r="L104" s="109"/>
      <c r="M104" s="35">
        <f>J114+L104</f>
        <v>-1459</v>
      </c>
      <c r="N104" s="112"/>
      <c r="O104" s="111"/>
      <c r="P104" s="17">
        <f>M114+O104</f>
        <v>-1459</v>
      </c>
      <c r="Q104" s="109"/>
      <c r="R104" s="109"/>
      <c r="S104" s="35">
        <f>P114+R104</f>
        <v>-1459</v>
      </c>
      <c r="T104" s="112"/>
      <c r="U104" s="111"/>
      <c r="V104" s="48">
        <f>S114+U104</f>
        <v>-1459</v>
      </c>
      <c r="W104" s="143"/>
      <c r="X104" s="4"/>
      <c r="Y104" s="4"/>
      <c r="Z104" s="4"/>
    </row>
    <row r="105" spans="1:26" ht="15.75" customHeight="1">
      <c r="A105" s="114"/>
      <c r="B105" s="122"/>
      <c r="C105" s="123"/>
      <c r="D105" s="26">
        <f t="shared" ref="D105:D114" si="63">D104+C105</f>
        <v>-1459</v>
      </c>
      <c r="E105" s="117"/>
      <c r="F105" s="117"/>
      <c r="G105" s="19">
        <f t="shared" ref="G105:G114" si="64">G104+F105</f>
        <v>-1459</v>
      </c>
      <c r="H105" s="106"/>
      <c r="I105" s="107"/>
      <c r="J105" s="26">
        <f t="shared" ref="J105:J114" si="65">J104+I105</f>
        <v>-1459</v>
      </c>
      <c r="K105" s="117"/>
      <c r="L105" s="117"/>
      <c r="M105" s="38">
        <f t="shared" ref="M105:M114" si="66">M104+L105</f>
        <v>-1459</v>
      </c>
      <c r="N105" s="106"/>
      <c r="O105" s="107"/>
      <c r="P105" s="26">
        <f t="shared" ref="P105:P114" si="67">P104+O105</f>
        <v>-1459</v>
      </c>
      <c r="Q105" s="117"/>
      <c r="R105" s="117"/>
      <c r="S105" s="38">
        <f t="shared" ref="S105:S114" si="68">S104+R105</f>
        <v>-1459</v>
      </c>
      <c r="T105" s="106"/>
      <c r="U105" s="107"/>
      <c r="V105" s="20">
        <f t="shared" ref="V105:V114" si="69">V104+U105</f>
        <v>-1459</v>
      </c>
      <c r="W105" s="143"/>
      <c r="X105" s="4"/>
      <c r="Y105" s="4"/>
      <c r="Z105" s="4"/>
    </row>
    <row r="106" spans="1:26" ht="15.75" customHeight="1">
      <c r="A106" s="114"/>
      <c r="B106" s="122"/>
      <c r="C106" s="123"/>
      <c r="D106" s="26">
        <f t="shared" si="63"/>
        <v>-1459</v>
      </c>
      <c r="E106" s="117"/>
      <c r="F106" s="117"/>
      <c r="G106" s="19">
        <f t="shared" si="64"/>
        <v>-1459</v>
      </c>
      <c r="H106" s="106"/>
      <c r="I106" s="107"/>
      <c r="J106" s="26">
        <f t="shared" si="65"/>
        <v>-1459</v>
      </c>
      <c r="K106" s="117"/>
      <c r="L106" s="117"/>
      <c r="M106" s="38">
        <f t="shared" si="66"/>
        <v>-1459</v>
      </c>
      <c r="N106" s="106"/>
      <c r="O106" s="107"/>
      <c r="P106" s="26">
        <f t="shared" si="67"/>
        <v>-1459</v>
      </c>
      <c r="Q106" s="117"/>
      <c r="R106" s="117"/>
      <c r="S106" s="38">
        <f t="shared" si="68"/>
        <v>-1459</v>
      </c>
      <c r="T106" s="106"/>
      <c r="U106" s="116"/>
      <c r="V106" s="20">
        <f t="shared" si="69"/>
        <v>-1459</v>
      </c>
      <c r="W106" s="143"/>
      <c r="X106" s="4"/>
      <c r="Y106" s="4"/>
      <c r="Z106" s="4"/>
    </row>
    <row r="107" spans="1:26" ht="15.75" customHeight="1">
      <c r="A107" s="114"/>
      <c r="B107" s="122"/>
      <c r="C107" s="123"/>
      <c r="D107" s="26">
        <f t="shared" si="63"/>
        <v>-1459</v>
      </c>
      <c r="E107" s="117"/>
      <c r="F107" s="117"/>
      <c r="G107" s="19">
        <f t="shared" si="64"/>
        <v>-1459</v>
      </c>
      <c r="H107" s="106"/>
      <c r="I107" s="107"/>
      <c r="J107" s="26">
        <f t="shared" si="65"/>
        <v>-1459</v>
      </c>
      <c r="K107" s="117"/>
      <c r="L107" s="117"/>
      <c r="M107" s="38">
        <f t="shared" si="66"/>
        <v>-1459</v>
      </c>
      <c r="N107" s="106"/>
      <c r="O107" s="107"/>
      <c r="P107" s="26">
        <f t="shared" si="67"/>
        <v>-1459</v>
      </c>
      <c r="Q107" s="117"/>
      <c r="R107" s="117"/>
      <c r="S107" s="38">
        <f t="shared" si="68"/>
        <v>-1459</v>
      </c>
      <c r="T107" s="106"/>
      <c r="U107" s="116"/>
      <c r="V107" s="20">
        <f t="shared" si="69"/>
        <v>-1459</v>
      </c>
      <c r="W107" s="143"/>
      <c r="X107" s="4"/>
      <c r="Y107" s="4"/>
      <c r="Z107" s="4"/>
    </row>
    <row r="108" spans="1:26" ht="15.75" customHeight="1">
      <c r="A108" s="114"/>
      <c r="B108" s="122"/>
      <c r="C108" s="123"/>
      <c r="D108" s="26">
        <f t="shared" si="63"/>
        <v>-1459</v>
      </c>
      <c r="E108" s="117"/>
      <c r="F108" s="117"/>
      <c r="G108" s="19">
        <f t="shared" si="64"/>
        <v>-1459</v>
      </c>
      <c r="H108" s="106"/>
      <c r="I108" s="107"/>
      <c r="J108" s="26">
        <f t="shared" si="65"/>
        <v>-1459</v>
      </c>
      <c r="K108" s="117"/>
      <c r="L108" s="117"/>
      <c r="M108" s="38">
        <f t="shared" si="66"/>
        <v>-1459</v>
      </c>
      <c r="N108" s="106"/>
      <c r="O108" s="107"/>
      <c r="P108" s="26">
        <f t="shared" si="67"/>
        <v>-1459</v>
      </c>
      <c r="Q108" s="117"/>
      <c r="R108" s="117"/>
      <c r="S108" s="38">
        <f t="shared" si="68"/>
        <v>-1459</v>
      </c>
      <c r="T108" s="106"/>
      <c r="U108" s="116"/>
      <c r="V108" s="20">
        <f t="shared" si="69"/>
        <v>-1459</v>
      </c>
      <c r="W108" s="143"/>
      <c r="X108" s="4"/>
      <c r="Y108" s="4"/>
      <c r="Z108" s="4"/>
    </row>
    <row r="109" spans="1:26" ht="15.75" customHeight="1">
      <c r="A109" s="114"/>
      <c r="B109" s="122"/>
      <c r="C109" s="123"/>
      <c r="D109" s="26">
        <f t="shared" si="63"/>
        <v>-1459</v>
      </c>
      <c r="E109" s="117"/>
      <c r="F109" s="117"/>
      <c r="G109" s="19">
        <f t="shared" si="64"/>
        <v>-1459</v>
      </c>
      <c r="H109" s="106"/>
      <c r="I109" s="107"/>
      <c r="J109" s="26">
        <f t="shared" si="65"/>
        <v>-1459</v>
      </c>
      <c r="K109" s="117"/>
      <c r="L109" s="117"/>
      <c r="M109" s="38">
        <f t="shared" si="66"/>
        <v>-1459</v>
      </c>
      <c r="N109" s="106"/>
      <c r="O109" s="107"/>
      <c r="P109" s="26">
        <f t="shared" si="67"/>
        <v>-1459</v>
      </c>
      <c r="Q109" s="117"/>
      <c r="R109" s="117"/>
      <c r="S109" s="38">
        <f t="shared" si="68"/>
        <v>-1459</v>
      </c>
      <c r="T109" s="106"/>
      <c r="U109" s="116"/>
      <c r="V109" s="20">
        <f t="shared" si="69"/>
        <v>-1459</v>
      </c>
      <c r="W109" s="143"/>
      <c r="X109" s="4"/>
      <c r="Y109" s="4"/>
      <c r="Z109" s="4"/>
    </row>
    <row r="110" spans="1:26" ht="15.75" customHeight="1">
      <c r="A110" s="114"/>
      <c r="B110" s="122"/>
      <c r="C110" s="123"/>
      <c r="D110" s="26">
        <f t="shared" si="63"/>
        <v>-1459</v>
      </c>
      <c r="E110" s="117"/>
      <c r="F110" s="117"/>
      <c r="G110" s="19">
        <f t="shared" si="64"/>
        <v>-1459</v>
      </c>
      <c r="H110" s="106"/>
      <c r="I110" s="107"/>
      <c r="J110" s="26">
        <f t="shared" si="65"/>
        <v>-1459</v>
      </c>
      <c r="K110" s="117"/>
      <c r="L110" s="117"/>
      <c r="M110" s="38">
        <f t="shared" si="66"/>
        <v>-1459</v>
      </c>
      <c r="N110" s="106"/>
      <c r="O110" s="107"/>
      <c r="P110" s="26">
        <f t="shared" si="67"/>
        <v>-1459</v>
      </c>
      <c r="Q110" s="117"/>
      <c r="R110" s="117"/>
      <c r="S110" s="38">
        <f t="shared" si="68"/>
        <v>-1459</v>
      </c>
      <c r="T110" s="106"/>
      <c r="U110" s="116"/>
      <c r="V110" s="20">
        <f t="shared" si="69"/>
        <v>-1459</v>
      </c>
      <c r="W110" s="143"/>
      <c r="X110" s="4"/>
      <c r="Y110" s="4"/>
      <c r="Z110" s="4"/>
    </row>
    <row r="111" spans="1:26" ht="15.75" customHeight="1">
      <c r="A111" s="114"/>
      <c r="B111" s="122"/>
      <c r="C111" s="123"/>
      <c r="D111" s="26">
        <f t="shared" si="63"/>
        <v>-1459</v>
      </c>
      <c r="E111" s="117"/>
      <c r="F111" s="117"/>
      <c r="G111" s="19">
        <f t="shared" si="64"/>
        <v>-1459</v>
      </c>
      <c r="H111" s="106"/>
      <c r="I111" s="107"/>
      <c r="J111" s="26">
        <f t="shared" si="65"/>
        <v>-1459</v>
      </c>
      <c r="K111" s="117"/>
      <c r="L111" s="117"/>
      <c r="M111" s="38">
        <f t="shared" si="66"/>
        <v>-1459</v>
      </c>
      <c r="N111" s="106"/>
      <c r="O111" s="107"/>
      <c r="P111" s="26">
        <f t="shared" si="67"/>
        <v>-1459</v>
      </c>
      <c r="Q111" s="117"/>
      <c r="R111" s="117"/>
      <c r="S111" s="38">
        <f t="shared" si="68"/>
        <v>-1459</v>
      </c>
      <c r="T111" s="106"/>
      <c r="U111" s="116"/>
      <c r="V111" s="20">
        <f t="shared" si="69"/>
        <v>-1459</v>
      </c>
      <c r="W111" s="143"/>
      <c r="X111" s="4"/>
      <c r="Y111" s="4"/>
      <c r="Z111" s="4"/>
    </row>
    <row r="112" spans="1:26" ht="15.75" customHeight="1">
      <c r="A112" s="114"/>
      <c r="B112" s="122"/>
      <c r="C112" s="123"/>
      <c r="D112" s="26">
        <f t="shared" si="63"/>
        <v>-1459</v>
      </c>
      <c r="E112" s="117"/>
      <c r="F112" s="117"/>
      <c r="G112" s="19">
        <f t="shared" si="64"/>
        <v>-1459</v>
      </c>
      <c r="H112" s="106"/>
      <c r="I112" s="107"/>
      <c r="J112" s="26">
        <f t="shared" si="65"/>
        <v>-1459</v>
      </c>
      <c r="K112" s="117"/>
      <c r="L112" s="117"/>
      <c r="M112" s="38">
        <f t="shared" si="66"/>
        <v>-1459</v>
      </c>
      <c r="N112" s="122"/>
      <c r="O112" s="123"/>
      <c r="P112" s="26">
        <f t="shared" si="67"/>
        <v>-1459</v>
      </c>
      <c r="Q112" s="117"/>
      <c r="R112" s="117"/>
      <c r="S112" s="38">
        <f t="shared" si="68"/>
        <v>-1459</v>
      </c>
      <c r="T112" s="106"/>
      <c r="U112" s="116"/>
      <c r="V112" s="20">
        <f t="shared" si="69"/>
        <v>-1459</v>
      </c>
      <c r="W112" s="143"/>
      <c r="X112" s="4"/>
      <c r="Y112" s="4"/>
      <c r="Z112" s="4"/>
    </row>
    <row r="113" spans="1:23" ht="15.75" customHeight="1">
      <c r="A113" s="114"/>
      <c r="B113" s="122"/>
      <c r="C113" s="123"/>
      <c r="D113" s="26">
        <f t="shared" si="63"/>
        <v>-1459</v>
      </c>
      <c r="E113" s="117"/>
      <c r="F113" s="117"/>
      <c r="G113" s="19">
        <f t="shared" si="64"/>
        <v>-1459</v>
      </c>
      <c r="H113" s="106"/>
      <c r="I113" s="107"/>
      <c r="J113" s="26">
        <f t="shared" si="65"/>
        <v>-1459</v>
      </c>
      <c r="K113" s="117"/>
      <c r="L113" s="117"/>
      <c r="M113" s="38">
        <f t="shared" si="66"/>
        <v>-1459</v>
      </c>
      <c r="N113" s="122"/>
      <c r="O113" s="123"/>
      <c r="P113" s="26">
        <f t="shared" si="67"/>
        <v>-1459</v>
      </c>
      <c r="Q113" s="117"/>
      <c r="R113" s="117"/>
      <c r="S113" s="38">
        <f t="shared" si="68"/>
        <v>-1459</v>
      </c>
      <c r="T113" s="122"/>
      <c r="U113" s="124"/>
      <c r="V113" s="20">
        <f t="shared" si="69"/>
        <v>-1459</v>
      </c>
      <c r="W113" s="143"/>
    </row>
    <row r="114" spans="1:23" ht="15.75" customHeight="1">
      <c r="A114" s="114"/>
      <c r="B114" s="122"/>
      <c r="C114" s="123"/>
      <c r="D114" s="39">
        <f t="shared" si="63"/>
        <v>-1459</v>
      </c>
      <c r="E114" s="128"/>
      <c r="F114" s="128"/>
      <c r="G114" s="29">
        <f t="shared" si="64"/>
        <v>-1459</v>
      </c>
      <c r="H114" s="124"/>
      <c r="I114" s="123"/>
      <c r="J114" s="39">
        <f t="shared" si="65"/>
        <v>-1459</v>
      </c>
      <c r="K114" s="128"/>
      <c r="L114" s="128"/>
      <c r="M114" s="40">
        <f t="shared" si="66"/>
        <v>-1459</v>
      </c>
      <c r="N114" s="122"/>
      <c r="O114" s="123"/>
      <c r="P114" s="39">
        <f t="shared" si="67"/>
        <v>-1459</v>
      </c>
      <c r="Q114" s="128"/>
      <c r="R114" s="128"/>
      <c r="S114" s="40">
        <f t="shared" si="68"/>
        <v>-1459</v>
      </c>
      <c r="T114" s="122"/>
      <c r="U114" s="123"/>
      <c r="V114" s="49">
        <f t="shared" si="69"/>
        <v>-1459</v>
      </c>
      <c r="W114" s="143"/>
    </row>
    <row r="115" spans="1:23" ht="15.75" customHeight="1">
      <c r="A115" s="87"/>
      <c r="B115" s="77">
        <f ca="1">IFERROR(__xludf.DUMMYFUNCTION("DATE(VALUE(LEFT($B$2,4)),VALUE(MID($B$2,6,2)),VALUE(RIGHT($B$2,2)))
+ (VALUE(REGEXEXTRACT(INDIRECT(""A""&amp;ROW()+1),""\d+""))-1)*7
+ INT((COLUMN()-COLUMN($B115))/3)
"),46817)</f>
        <v>46817</v>
      </c>
      <c r="C115" s="81"/>
      <c r="D115" s="82"/>
      <c r="E115" s="77">
        <f ca="1">IFERROR(__xludf.DUMMYFUNCTION("DATE(VALUE(LEFT($B$2,4)),VALUE(MID($B$2,6,2)),VALUE(RIGHT($B$2,2)))
+ (VALUE(REGEXEXTRACT(INDIRECT(""A""&amp;ROW()+1),""\d+""))-1)*7
+ INT((COLUMN()-COLUMN($B115))/3)
"),46818)</f>
        <v>46818</v>
      </c>
      <c r="F115" s="81"/>
      <c r="G115" s="82"/>
      <c r="H115" s="77">
        <f ca="1">IFERROR(__xludf.DUMMYFUNCTION("DATE(VALUE(LEFT($B$2,4)),VALUE(MID($B$2,6,2)),VALUE(RIGHT($B$2,2)))
+ (VALUE(REGEXEXTRACT(INDIRECT(""A""&amp;ROW()+1),""\d+""))-1)*7
+ INT((COLUMN()-COLUMN($B115))/3)
"),46819)</f>
        <v>46819</v>
      </c>
      <c r="I115" s="81"/>
      <c r="J115" s="82"/>
      <c r="K115" s="77">
        <f ca="1">IFERROR(__xludf.DUMMYFUNCTION("DATE(VALUE(LEFT($B$2,4)),VALUE(MID($B$2,6,2)),VALUE(RIGHT($B$2,2)))
+ (VALUE(REGEXEXTRACT(INDIRECT(""A""&amp;ROW()+1),""\d+""))-1)*7
+ INT((COLUMN()-COLUMN($B115))/3)
"),46820)</f>
        <v>46820</v>
      </c>
      <c r="L115" s="81"/>
      <c r="M115" s="82"/>
      <c r="N115" s="77">
        <f ca="1">IFERROR(__xludf.DUMMYFUNCTION("DATE(VALUE(LEFT($B$2,4)),VALUE(MID($B$2,6,2)),VALUE(RIGHT($B$2,2)))
+ (VALUE(REGEXEXTRACT(INDIRECT(""A""&amp;ROW()+1),""\d+""))-1)*7
+ INT((COLUMN()-COLUMN($B115))/3)
"),46821)</f>
        <v>46821</v>
      </c>
      <c r="O115" s="81"/>
      <c r="P115" s="82"/>
      <c r="Q115" s="77">
        <f ca="1">IFERROR(__xludf.DUMMYFUNCTION("DATE(VALUE(LEFT($B$2,4)),VALUE(MID($B$2,6,2)),VALUE(RIGHT($B$2,2)))
+ (VALUE(REGEXEXTRACT(INDIRECT(""A""&amp;ROW()+1),""\d+""))-1)*7
+ INT((COLUMN()-COLUMN($B115))/3)
"),46822)</f>
        <v>46822</v>
      </c>
      <c r="R115" s="81"/>
      <c r="S115" s="82"/>
      <c r="T115" s="77">
        <f ca="1">IFERROR(__xludf.DUMMYFUNCTION("DATE(VALUE(LEFT($B$2,4)),VALUE(MID($B$2,6,2)),VALUE(RIGHT($B$2,2)))
+ (VALUE(REGEXEXTRACT(INDIRECT(""A""&amp;ROW()+1),""\d+""))-1)*7
+ INT((COLUMN()-COLUMN($B115))/3)
"),46823)</f>
        <v>46823</v>
      </c>
      <c r="U115" s="81"/>
      <c r="V115" s="82"/>
      <c r="W115" s="52" t="s">
        <v>20</v>
      </c>
    </row>
    <row r="116" spans="1:23" ht="15.75" customHeight="1">
      <c r="A116" s="47" t="s">
        <v>146</v>
      </c>
      <c r="B116" s="109"/>
      <c r="C116" s="109"/>
      <c r="D116" s="42">
        <f>V114+C116</f>
        <v>-1459</v>
      </c>
      <c r="E116" s="112"/>
      <c r="F116" s="111"/>
      <c r="G116" s="36">
        <f>D126+F116</f>
        <v>-1459</v>
      </c>
      <c r="H116" s="132"/>
      <c r="I116" s="109"/>
      <c r="J116" s="42">
        <f>G126+I116</f>
        <v>-1459</v>
      </c>
      <c r="K116" s="112"/>
      <c r="L116" s="111"/>
      <c r="M116" s="18">
        <f>J126+L116</f>
        <v>-1459</v>
      </c>
      <c r="N116" s="113"/>
      <c r="O116" s="109"/>
      <c r="P116" s="35">
        <f>M126+O116</f>
        <v>-1459</v>
      </c>
      <c r="Q116" s="112"/>
      <c r="R116" s="111"/>
      <c r="S116" s="18">
        <f>P126+R116</f>
        <v>-1459</v>
      </c>
      <c r="T116" s="113"/>
      <c r="U116" s="109"/>
      <c r="V116" s="50">
        <f>S126+U116</f>
        <v>-1459</v>
      </c>
      <c r="W116" s="172"/>
    </row>
    <row r="117" spans="1:23" ht="15.75" customHeight="1">
      <c r="A117" s="114"/>
      <c r="B117" s="117"/>
      <c r="C117" s="117"/>
      <c r="D117" s="19">
        <f t="shared" ref="D117:D126" si="70">D116+C117</f>
        <v>-1459</v>
      </c>
      <c r="E117" s="106"/>
      <c r="F117" s="107"/>
      <c r="G117" s="26">
        <f t="shared" ref="G117:G126" si="71">G116+F117</f>
        <v>-1459</v>
      </c>
      <c r="H117" s="133"/>
      <c r="I117" s="117"/>
      <c r="J117" s="19">
        <f t="shared" ref="J117:J126" si="72">J116+I117</f>
        <v>-1459</v>
      </c>
      <c r="K117" s="106"/>
      <c r="L117" s="107"/>
      <c r="M117" s="26">
        <f t="shared" ref="M117:M126" si="73">M116+L117</f>
        <v>-1459</v>
      </c>
      <c r="N117" s="118"/>
      <c r="O117" s="117"/>
      <c r="P117" s="38">
        <f t="shared" ref="P117:P126" si="74">P116+O117</f>
        <v>-1459</v>
      </c>
      <c r="Q117" s="106"/>
      <c r="R117" s="107"/>
      <c r="S117" s="26">
        <f t="shared" ref="S117:S126" si="75">S116+R117</f>
        <v>-1459</v>
      </c>
      <c r="T117" s="136"/>
      <c r="U117" s="136"/>
      <c r="V117" s="45">
        <f t="shared" ref="V117:V126" si="76">V116+U117</f>
        <v>-1459</v>
      </c>
      <c r="W117" s="143"/>
    </row>
    <row r="118" spans="1:23" ht="15.75" customHeight="1">
      <c r="A118" s="114"/>
      <c r="B118" s="117"/>
      <c r="C118" s="117"/>
      <c r="D118" s="19">
        <f t="shared" si="70"/>
        <v>-1459</v>
      </c>
      <c r="E118" s="106"/>
      <c r="F118" s="107"/>
      <c r="G118" s="26">
        <f t="shared" si="71"/>
        <v>-1459</v>
      </c>
      <c r="H118" s="133"/>
      <c r="I118" s="117"/>
      <c r="J118" s="19">
        <f t="shared" si="72"/>
        <v>-1459</v>
      </c>
      <c r="K118" s="106"/>
      <c r="L118" s="107"/>
      <c r="M118" s="26">
        <f t="shared" si="73"/>
        <v>-1459</v>
      </c>
      <c r="N118" s="117"/>
      <c r="O118" s="117"/>
      <c r="P118" s="38">
        <f t="shared" si="74"/>
        <v>-1459</v>
      </c>
      <c r="Q118" s="106"/>
      <c r="R118" s="107"/>
      <c r="S118" s="26">
        <f t="shared" si="75"/>
        <v>-1459</v>
      </c>
      <c r="T118" s="136"/>
      <c r="U118" s="136"/>
      <c r="V118" s="45">
        <f t="shared" si="76"/>
        <v>-1459</v>
      </c>
      <c r="W118" s="143"/>
    </row>
    <row r="119" spans="1:23" ht="15.75" customHeight="1">
      <c r="A119" s="114"/>
      <c r="B119" s="117"/>
      <c r="C119" s="117"/>
      <c r="D119" s="19">
        <f t="shared" si="70"/>
        <v>-1459</v>
      </c>
      <c r="E119" s="106"/>
      <c r="F119" s="107"/>
      <c r="G119" s="26">
        <f t="shared" si="71"/>
        <v>-1459</v>
      </c>
      <c r="H119" s="133"/>
      <c r="I119" s="117"/>
      <c r="J119" s="19">
        <f t="shared" si="72"/>
        <v>-1459</v>
      </c>
      <c r="K119" s="106"/>
      <c r="L119" s="107"/>
      <c r="M119" s="26">
        <f t="shared" si="73"/>
        <v>-1459</v>
      </c>
      <c r="N119" s="117"/>
      <c r="O119" s="117"/>
      <c r="P119" s="38">
        <f t="shared" si="74"/>
        <v>-1459</v>
      </c>
      <c r="Q119" s="106"/>
      <c r="R119" s="107"/>
      <c r="S119" s="26">
        <f t="shared" si="75"/>
        <v>-1459</v>
      </c>
      <c r="T119" s="117"/>
      <c r="U119" s="117"/>
      <c r="V119" s="45">
        <f t="shared" si="76"/>
        <v>-1459</v>
      </c>
      <c r="W119" s="143"/>
    </row>
    <row r="120" spans="1:23" ht="15.75" customHeight="1">
      <c r="A120" s="114"/>
      <c r="B120" s="117"/>
      <c r="C120" s="117"/>
      <c r="D120" s="19">
        <f t="shared" si="70"/>
        <v>-1459</v>
      </c>
      <c r="E120" s="106"/>
      <c r="F120" s="107"/>
      <c r="G120" s="26">
        <f t="shared" si="71"/>
        <v>-1459</v>
      </c>
      <c r="H120" s="133"/>
      <c r="I120" s="117"/>
      <c r="J120" s="19">
        <f t="shared" si="72"/>
        <v>-1459</v>
      </c>
      <c r="K120" s="106"/>
      <c r="L120" s="107"/>
      <c r="M120" s="26">
        <f t="shared" si="73"/>
        <v>-1459</v>
      </c>
      <c r="N120" s="117"/>
      <c r="O120" s="117"/>
      <c r="P120" s="38">
        <f t="shared" si="74"/>
        <v>-1459</v>
      </c>
      <c r="Q120" s="106"/>
      <c r="R120" s="107"/>
      <c r="S120" s="26">
        <f t="shared" si="75"/>
        <v>-1459</v>
      </c>
      <c r="T120" s="117"/>
      <c r="U120" s="117"/>
      <c r="V120" s="45">
        <f t="shared" si="76"/>
        <v>-1459</v>
      </c>
      <c r="W120" s="143"/>
    </row>
    <row r="121" spans="1:23" ht="15.75" customHeight="1">
      <c r="A121" s="114"/>
      <c r="B121" s="118"/>
      <c r="C121" s="117"/>
      <c r="D121" s="19">
        <f t="shared" si="70"/>
        <v>-1459</v>
      </c>
      <c r="E121" s="106"/>
      <c r="F121" s="107"/>
      <c r="G121" s="26">
        <f t="shared" si="71"/>
        <v>-1459</v>
      </c>
      <c r="H121" s="133"/>
      <c r="I121" s="117"/>
      <c r="J121" s="19">
        <f t="shared" si="72"/>
        <v>-1459</v>
      </c>
      <c r="K121" s="106"/>
      <c r="L121" s="107"/>
      <c r="M121" s="26">
        <f t="shared" si="73"/>
        <v>-1459</v>
      </c>
      <c r="N121" s="117"/>
      <c r="O121" s="117"/>
      <c r="P121" s="38">
        <f t="shared" si="74"/>
        <v>-1459</v>
      </c>
      <c r="Q121" s="106"/>
      <c r="R121" s="107"/>
      <c r="S121" s="26">
        <f t="shared" si="75"/>
        <v>-1459</v>
      </c>
      <c r="T121" s="117"/>
      <c r="U121" s="117"/>
      <c r="V121" s="45">
        <f t="shared" si="76"/>
        <v>-1459</v>
      </c>
      <c r="W121" s="143"/>
    </row>
    <row r="122" spans="1:23" ht="15.75" customHeight="1">
      <c r="A122" s="114"/>
      <c r="B122" s="117"/>
      <c r="C122" s="117"/>
      <c r="D122" s="19">
        <f t="shared" si="70"/>
        <v>-1459</v>
      </c>
      <c r="E122" s="106"/>
      <c r="F122" s="107"/>
      <c r="G122" s="26">
        <f t="shared" si="71"/>
        <v>-1459</v>
      </c>
      <c r="H122" s="133"/>
      <c r="I122" s="117"/>
      <c r="J122" s="19">
        <f t="shared" si="72"/>
        <v>-1459</v>
      </c>
      <c r="K122" s="106"/>
      <c r="L122" s="107"/>
      <c r="M122" s="26">
        <f t="shared" si="73"/>
        <v>-1459</v>
      </c>
      <c r="N122" s="117"/>
      <c r="O122" s="117"/>
      <c r="P122" s="38">
        <f t="shared" si="74"/>
        <v>-1459</v>
      </c>
      <c r="Q122" s="106"/>
      <c r="R122" s="107"/>
      <c r="S122" s="26">
        <f t="shared" si="75"/>
        <v>-1459</v>
      </c>
      <c r="T122" s="117"/>
      <c r="U122" s="117"/>
      <c r="V122" s="45">
        <f t="shared" si="76"/>
        <v>-1459</v>
      </c>
      <c r="W122" s="143"/>
    </row>
    <row r="123" spans="1:23" ht="15.75" customHeight="1">
      <c r="A123" s="114"/>
      <c r="B123" s="117"/>
      <c r="C123" s="117"/>
      <c r="D123" s="19">
        <f t="shared" si="70"/>
        <v>-1459</v>
      </c>
      <c r="E123" s="106"/>
      <c r="F123" s="107"/>
      <c r="G123" s="26">
        <f t="shared" si="71"/>
        <v>-1459</v>
      </c>
      <c r="H123" s="133"/>
      <c r="I123" s="117"/>
      <c r="J123" s="19">
        <f t="shared" si="72"/>
        <v>-1459</v>
      </c>
      <c r="K123" s="106"/>
      <c r="L123" s="107"/>
      <c r="M123" s="26">
        <f t="shared" si="73"/>
        <v>-1459</v>
      </c>
      <c r="N123" s="117"/>
      <c r="O123" s="117"/>
      <c r="P123" s="38">
        <f t="shared" si="74"/>
        <v>-1459</v>
      </c>
      <c r="Q123" s="106"/>
      <c r="R123" s="107"/>
      <c r="S123" s="26">
        <f t="shared" si="75"/>
        <v>-1459</v>
      </c>
      <c r="T123" s="117"/>
      <c r="U123" s="117"/>
      <c r="V123" s="45">
        <f t="shared" si="76"/>
        <v>-1459</v>
      </c>
      <c r="W123" s="143"/>
    </row>
    <row r="124" spans="1:23" ht="15.75" customHeight="1">
      <c r="A124" s="114"/>
      <c r="B124" s="117"/>
      <c r="C124" s="117"/>
      <c r="D124" s="19">
        <f t="shared" si="70"/>
        <v>-1459</v>
      </c>
      <c r="E124" s="106"/>
      <c r="F124" s="107"/>
      <c r="G124" s="26">
        <f t="shared" si="71"/>
        <v>-1459</v>
      </c>
      <c r="H124" s="133"/>
      <c r="I124" s="117"/>
      <c r="J124" s="19">
        <f t="shared" si="72"/>
        <v>-1459</v>
      </c>
      <c r="K124" s="106"/>
      <c r="L124" s="107"/>
      <c r="M124" s="26">
        <f t="shared" si="73"/>
        <v>-1459</v>
      </c>
      <c r="N124" s="117"/>
      <c r="O124" s="117"/>
      <c r="P124" s="38">
        <f t="shared" si="74"/>
        <v>-1459</v>
      </c>
      <c r="Q124" s="106"/>
      <c r="R124" s="107"/>
      <c r="S124" s="26">
        <f t="shared" si="75"/>
        <v>-1459</v>
      </c>
      <c r="T124" s="136"/>
      <c r="U124" s="136"/>
      <c r="V124" s="45">
        <f t="shared" si="76"/>
        <v>-1459</v>
      </c>
      <c r="W124" s="143"/>
    </row>
    <row r="125" spans="1:23" ht="15.75" customHeight="1">
      <c r="A125" s="114"/>
      <c r="B125" s="117"/>
      <c r="C125" s="117"/>
      <c r="D125" s="19">
        <f t="shared" si="70"/>
        <v>-1459</v>
      </c>
      <c r="E125" s="122"/>
      <c r="F125" s="123"/>
      <c r="G125" s="26">
        <f t="shared" si="71"/>
        <v>-1459</v>
      </c>
      <c r="H125" s="133"/>
      <c r="I125" s="117"/>
      <c r="J125" s="19">
        <f t="shared" si="72"/>
        <v>-1459</v>
      </c>
      <c r="K125" s="122"/>
      <c r="L125" s="123"/>
      <c r="M125" s="26">
        <f t="shared" si="73"/>
        <v>-1459</v>
      </c>
      <c r="N125" s="117"/>
      <c r="O125" s="117"/>
      <c r="P125" s="38">
        <f t="shared" si="74"/>
        <v>-1459</v>
      </c>
      <c r="Q125" s="122"/>
      <c r="R125" s="123"/>
      <c r="S125" s="26">
        <f t="shared" si="75"/>
        <v>-1459</v>
      </c>
      <c r="T125" s="136"/>
      <c r="U125" s="136"/>
      <c r="V125" s="45">
        <f t="shared" si="76"/>
        <v>-1459</v>
      </c>
      <c r="W125" s="143"/>
    </row>
    <row r="126" spans="1:23" ht="15.75" customHeight="1">
      <c r="A126" s="114"/>
      <c r="B126" s="128"/>
      <c r="C126" s="128"/>
      <c r="D126" s="29">
        <f t="shared" si="70"/>
        <v>-1459</v>
      </c>
      <c r="E126" s="122"/>
      <c r="F126" s="123"/>
      <c r="G126" s="39">
        <f t="shared" si="71"/>
        <v>-1459</v>
      </c>
      <c r="H126" s="140"/>
      <c r="I126" s="128"/>
      <c r="J126" s="29">
        <f t="shared" si="72"/>
        <v>-1459</v>
      </c>
      <c r="K126" s="122"/>
      <c r="L126" s="123"/>
      <c r="M126" s="39">
        <f t="shared" si="73"/>
        <v>-1459</v>
      </c>
      <c r="N126" s="128"/>
      <c r="O126" s="128"/>
      <c r="P126" s="40">
        <f t="shared" si="74"/>
        <v>-1459</v>
      </c>
      <c r="Q126" s="122"/>
      <c r="R126" s="123"/>
      <c r="S126" s="39">
        <f t="shared" si="75"/>
        <v>-1459</v>
      </c>
      <c r="T126" s="141"/>
      <c r="U126" s="141"/>
      <c r="V126" s="46">
        <f t="shared" si="76"/>
        <v>-1459</v>
      </c>
      <c r="W126" s="143"/>
    </row>
    <row r="127" spans="1:23" ht="15.75" customHeight="1">
      <c r="A127" s="87"/>
      <c r="B127" s="77">
        <f ca="1">IFERROR(__xludf.DUMMYFUNCTION("DATE(VALUE(LEFT($B$2,4)),VALUE(MID($B$2,6,2)),VALUE(RIGHT($B$2,2)))
+ (VALUE(REGEXEXTRACT(INDIRECT(""A""&amp;ROW()+1),""\d+""))-1)*7
+ INT((COLUMN()-COLUMN($B127))/3)
"),46824)</f>
        <v>46824</v>
      </c>
      <c r="C127" s="81"/>
      <c r="D127" s="82"/>
      <c r="E127" s="77">
        <f ca="1">IFERROR(__xludf.DUMMYFUNCTION("DATE(VALUE(LEFT($B$2,4)),VALUE(MID($B$2,6,2)),VALUE(RIGHT($B$2,2)))
+ (VALUE(REGEXEXTRACT(INDIRECT(""A""&amp;ROW()+1),""\d+""))-1)*7
+ INT((COLUMN()-COLUMN($B127))/3)
"),46825)</f>
        <v>46825</v>
      </c>
      <c r="F127" s="81"/>
      <c r="G127" s="82"/>
      <c r="H127" s="77">
        <f ca="1">IFERROR(__xludf.DUMMYFUNCTION("DATE(VALUE(LEFT($B$2,4)),VALUE(MID($B$2,6,2)),VALUE(RIGHT($B$2,2)))
+ (VALUE(REGEXEXTRACT(INDIRECT(""A""&amp;ROW()+1),""\d+""))-1)*7
+ INT((COLUMN()-COLUMN($B127))/3)
"),46826)</f>
        <v>46826</v>
      </c>
      <c r="I127" s="81"/>
      <c r="J127" s="82"/>
      <c r="K127" s="77">
        <f ca="1">IFERROR(__xludf.DUMMYFUNCTION("DATE(VALUE(LEFT($B$2,4)),VALUE(MID($B$2,6,2)),VALUE(RIGHT($B$2,2)))
+ (VALUE(REGEXEXTRACT(INDIRECT(""A""&amp;ROW()+1),""\d+""))-1)*7
+ INT((COLUMN()-COLUMN($B127))/3)
"),46827)</f>
        <v>46827</v>
      </c>
      <c r="L127" s="81"/>
      <c r="M127" s="82"/>
      <c r="N127" s="77">
        <f ca="1">IFERROR(__xludf.DUMMYFUNCTION("DATE(VALUE(LEFT($B$2,4)),VALUE(MID($B$2,6,2)),VALUE(RIGHT($B$2,2)))
+ (VALUE(REGEXEXTRACT(INDIRECT(""A""&amp;ROW()+1),""\d+""))-1)*7
+ INT((COLUMN()-COLUMN($B127))/3)
"),46828)</f>
        <v>46828</v>
      </c>
      <c r="O127" s="81"/>
      <c r="P127" s="82"/>
      <c r="Q127" s="77">
        <f ca="1">IFERROR(__xludf.DUMMYFUNCTION("DATE(VALUE(LEFT($B$2,4)),VALUE(MID($B$2,6,2)),VALUE(RIGHT($B$2,2)))
+ (VALUE(REGEXEXTRACT(INDIRECT(""A""&amp;ROW()+1),""\d+""))-1)*7
+ INT((COLUMN()-COLUMN($B127))/3)
"),46829)</f>
        <v>46829</v>
      </c>
      <c r="R127" s="81"/>
      <c r="S127" s="82"/>
      <c r="T127" s="77">
        <f ca="1">IFERROR(__xludf.DUMMYFUNCTION("DATE(VALUE(LEFT($B$2,4)),VALUE(MID($B$2,6,2)),VALUE(RIGHT($B$2,2)))
+ (VALUE(REGEXEXTRACT(INDIRECT(""A""&amp;ROW()+1),""\d+""))-1)*7
+ INT((COLUMN()-COLUMN($B127))/3)
"),46830)</f>
        <v>46830</v>
      </c>
      <c r="U127" s="81"/>
      <c r="V127" s="82"/>
      <c r="W127" s="143"/>
    </row>
    <row r="128" spans="1:23" ht="15.75" customHeight="1">
      <c r="A128" s="51" t="s">
        <v>147</v>
      </c>
      <c r="B128" s="112"/>
      <c r="C128" s="111"/>
      <c r="D128" s="17">
        <f>V126+C128</f>
        <v>-1459</v>
      </c>
      <c r="E128" s="109"/>
      <c r="F128" s="109"/>
      <c r="G128" s="54">
        <f>D138+F128</f>
        <v>-1459</v>
      </c>
      <c r="H128" s="110"/>
      <c r="I128" s="111"/>
      <c r="J128" s="17">
        <f>G138+I128</f>
        <v>-1459</v>
      </c>
      <c r="K128" s="109"/>
      <c r="L128" s="109"/>
      <c r="M128" s="35">
        <f>J138+L128</f>
        <v>-1459</v>
      </c>
      <c r="N128" s="112"/>
      <c r="O128" s="111"/>
      <c r="P128" s="17">
        <f>M138+O128</f>
        <v>-1459</v>
      </c>
      <c r="Q128" s="109"/>
      <c r="R128" s="109"/>
      <c r="S128" s="35">
        <f>P138+R128</f>
        <v>-1459</v>
      </c>
      <c r="T128" s="112"/>
      <c r="U128" s="111"/>
      <c r="V128" s="48">
        <f>S138+U128</f>
        <v>-1459</v>
      </c>
      <c r="W128" s="143"/>
    </row>
    <row r="129" spans="1:23" ht="15.75" customHeight="1">
      <c r="A129" s="114"/>
      <c r="B129" s="106"/>
      <c r="C129" s="107"/>
      <c r="D129" s="26">
        <f t="shared" ref="D129:D138" si="77">D128+C129</f>
        <v>-1459</v>
      </c>
      <c r="E129" s="117"/>
      <c r="F129" s="117"/>
      <c r="G129" s="19">
        <f t="shared" ref="G129:G138" si="78">G128+F129</f>
        <v>-1459</v>
      </c>
      <c r="H129" s="106"/>
      <c r="I129" s="107"/>
      <c r="J129" s="26">
        <f t="shared" ref="J129:J138" si="79">J128+I129</f>
        <v>-1459</v>
      </c>
      <c r="K129" s="117"/>
      <c r="L129" s="117"/>
      <c r="M129" s="38">
        <f t="shared" ref="M129:M138" si="80">M128+L129</f>
        <v>-1459</v>
      </c>
      <c r="N129" s="106"/>
      <c r="O129" s="107"/>
      <c r="P129" s="26">
        <f t="shared" ref="P129:P138" si="81">P128+O129</f>
        <v>-1459</v>
      </c>
      <c r="Q129" s="117"/>
      <c r="R129" s="117"/>
      <c r="S129" s="38">
        <f t="shared" ref="S129:S138" si="82">S128+R129</f>
        <v>-1459</v>
      </c>
      <c r="T129" s="106"/>
      <c r="U129" s="107"/>
      <c r="V129" s="20">
        <f t="shared" ref="V129:V138" si="83">V128+U129</f>
        <v>-1459</v>
      </c>
      <c r="W129" s="143"/>
    </row>
    <row r="130" spans="1:23" ht="15.75" customHeight="1">
      <c r="A130" s="114"/>
      <c r="B130" s="106"/>
      <c r="C130" s="107"/>
      <c r="D130" s="26">
        <f t="shared" si="77"/>
        <v>-1459</v>
      </c>
      <c r="E130" s="117"/>
      <c r="F130" s="117"/>
      <c r="G130" s="19">
        <f t="shared" si="78"/>
        <v>-1459</v>
      </c>
      <c r="H130" s="106"/>
      <c r="I130" s="107"/>
      <c r="J130" s="26">
        <f t="shared" si="79"/>
        <v>-1459</v>
      </c>
      <c r="K130" s="117"/>
      <c r="L130" s="117"/>
      <c r="M130" s="38">
        <f t="shared" si="80"/>
        <v>-1459</v>
      </c>
      <c r="N130" s="106"/>
      <c r="O130" s="107"/>
      <c r="P130" s="26">
        <f t="shared" si="81"/>
        <v>-1459</v>
      </c>
      <c r="Q130" s="117"/>
      <c r="R130" s="117"/>
      <c r="S130" s="38">
        <f t="shared" si="82"/>
        <v>-1459</v>
      </c>
      <c r="T130" s="106"/>
      <c r="U130" s="116"/>
      <c r="V130" s="20">
        <f t="shared" si="83"/>
        <v>-1459</v>
      </c>
      <c r="W130" s="143"/>
    </row>
    <row r="131" spans="1:23" ht="15.75" customHeight="1">
      <c r="A131" s="114"/>
      <c r="B131" s="106"/>
      <c r="C131" s="107"/>
      <c r="D131" s="26">
        <f t="shared" si="77"/>
        <v>-1459</v>
      </c>
      <c r="E131" s="117"/>
      <c r="F131" s="117"/>
      <c r="G131" s="19">
        <f t="shared" si="78"/>
        <v>-1459</v>
      </c>
      <c r="H131" s="106"/>
      <c r="I131" s="107"/>
      <c r="J131" s="26">
        <f t="shared" si="79"/>
        <v>-1459</v>
      </c>
      <c r="K131" s="117"/>
      <c r="L131" s="117"/>
      <c r="M131" s="38">
        <f t="shared" si="80"/>
        <v>-1459</v>
      </c>
      <c r="N131" s="106"/>
      <c r="O131" s="107"/>
      <c r="P131" s="26">
        <f t="shared" si="81"/>
        <v>-1459</v>
      </c>
      <c r="Q131" s="117"/>
      <c r="R131" s="117"/>
      <c r="S131" s="38">
        <f t="shared" si="82"/>
        <v>-1459</v>
      </c>
      <c r="T131" s="106"/>
      <c r="U131" s="116"/>
      <c r="V131" s="20">
        <f t="shared" si="83"/>
        <v>-1459</v>
      </c>
      <c r="W131" s="143"/>
    </row>
    <row r="132" spans="1:23" ht="15.75" customHeight="1">
      <c r="A132" s="114"/>
      <c r="B132" s="106"/>
      <c r="C132" s="107"/>
      <c r="D132" s="26">
        <f t="shared" si="77"/>
        <v>-1459</v>
      </c>
      <c r="E132" s="117"/>
      <c r="F132" s="117"/>
      <c r="G132" s="19">
        <f t="shared" si="78"/>
        <v>-1459</v>
      </c>
      <c r="H132" s="106"/>
      <c r="I132" s="107"/>
      <c r="J132" s="26">
        <f t="shared" si="79"/>
        <v>-1459</v>
      </c>
      <c r="K132" s="117"/>
      <c r="L132" s="117"/>
      <c r="M132" s="38">
        <f t="shared" si="80"/>
        <v>-1459</v>
      </c>
      <c r="N132" s="106"/>
      <c r="O132" s="107"/>
      <c r="P132" s="26">
        <f t="shared" si="81"/>
        <v>-1459</v>
      </c>
      <c r="Q132" s="117"/>
      <c r="R132" s="117"/>
      <c r="S132" s="38">
        <f t="shared" si="82"/>
        <v>-1459</v>
      </c>
      <c r="T132" s="106"/>
      <c r="U132" s="116"/>
      <c r="V132" s="20">
        <f t="shared" si="83"/>
        <v>-1459</v>
      </c>
      <c r="W132" s="143"/>
    </row>
    <row r="133" spans="1:23" ht="15.75" customHeight="1">
      <c r="A133" s="114"/>
      <c r="B133" s="106"/>
      <c r="C133" s="107"/>
      <c r="D133" s="26">
        <f t="shared" si="77"/>
        <v>-1459</v>
      </c>
      <c r="E133" s="117"/>
      <c r="F133" s="117"/>
      <c r="G133" s="19">
        <f t="shared" si="78"/>
        <v>-1459</v>
      </c>
      <c r="H133" s="106"/>
      <c r="I133" s="107"/>
      <c r="J133" s="26">
        <f t="shared" si="79"/>
        <v>-1459</v>
      </c>
      <c r="K133" s="117"/>
      <c r="L133" s="117"/>
      <c r="M133" s="38">
        <f t="shared" si="80"/>
        <v>-1459</v>
      </c>
      <c r="N133" s="106"/>
      <c r="O133" s="107"/>
      <c r="P133" s="26">
        <f t="shared" si="81"/>
        <v>-1459</v>
      </c>
      <c r="Q133" s="117"/>
      <c r="R133" s="117"/>
      <c r="S133" s="38">
        <f t="shared" si="82"/>
        <v>-1459</v>
      </c>
      <c r="T133" s="106"/>
      <c r="U133" s="116"/>
      <c r="V133" s="20">
        <f t="shared" si="83"/>
        <v>-1459</v>
      </c>
      <c r="W133" s="143"/>
    </row>
    <row r="134" spans="1:23" ht="15.75" customHeight="1">
      <c r="A134" s="114"/>
      <c r="B134" s="106"/>
      <c r="C134" s="107"/>
      <c r="D134" s="26">
        <f t="shared" si="77"/>
        <v>-1459</v>
      </c>
      <c r="E134" s="117"/>
      <c r="F134" s="117"/>
      <c r="G134" s="19">
        <f t="shared" si="78"/>
        <v>-1459</v>
      </c>
      <c r="H134" s="106"/>
      <c r="I134" s="107"/>
      <c r="J134" s="26">
        <f t="shared" si="79"/>
        <v>-1459</v>
      </c>
      <c r="K134" s="117"/>
      <c r="L134" s="117"/>
      <c r="M134" s="38">
        <f t="shared" si="80"/>
        <v>-1459</v>
      </c>
      <c r="N134" s="106"/>
      <c r="O134" s="107"/>
      <c r="P134" s="26">
        <f t="shared" si="81"/>
        <v>-1459</v>
      </c>
      <c r="Q134" s="117"/>
      <c r="R134" s="117"/>
      <c r="S134" s="38">
        <f t="shared" si="82"/>
        <v>-1459</v>
      </c>
      <c r="T134" s="106"/>
      <c r="U134" s="116"/>
      <c r="V134" s="20">
        <f t="shared" si="83"/>
        <v>-1459</v>
      </c>
      <c r="W134" s="143"/>
    </row>
    <row r="135" spans="1:23" ht="15.75" customHeight="1">
      <c r="A135" s="114"/>
      <c r="B135" s="106"/>
      <c r="C135" s="107"/>
      <c r="D135" s="26">
        <f t="shared" si="77"/>
        <v>-1459</v>
      </c>
      <c r="E135" s="117"/>
      <c r="F135" s="117"/>
      <c r="G135" s="19">
        <f t="shared" si="78"/>
        <v>-1459</v>
      </c>
      <c r="H135" s="106"/>
      <c r="I135" s="107"/>
      <c r="J135" s="26">
        <f t="shared" si="79"/>
        <v>-1459</v>
      </c>
      <c r="K135" s="117"/>
      <c r="L135" s="117"/>
      <c r="M135" s="38">
        <f t="shared" si="80"/>
        <v>-1459</v>
      </c>
      <c r="N135" s="106"/>
      <c r="O135" s="107"/>
      <c r="P135" s="26">
        <f t="shared" si="81"/>
        <v>-1459</v>
      </c>
      <c r="Q135" s="117"/>
      <c r="R135" s="117"/>
      <c r="S135" s="38">
        <f t="shared" si="82"/>
        <v>-1459</v>
      </c>
      <c r="T135" s="106"/>
      <c r="U135" s="116"/>
      <c r="V135" s="20">
        <f t="shared" si="83"/>
        <v>-1459</v>
      </c>
      <c r="W135" s="143"/>
    </row>
    <row r="136" spans="1:23" ht="15.75" customHeight="1">
      <c r="A136" s="114"/>
      <c r="B136" s="122"/>
      <c r="C136" s="123"/>
      <c r="D136" s="26">
        <f t="shared" si="77"/>
        <v>-1459</v>
      </c>
      <c r="E136" s="117"/>
      <c r="F136" s="117"/>
      <c r="G136" s="19">
        <f t="shared" si="78"/>
        <v>-1459</v>
      </c>
      <c r="H136" s="122"/>
      <c r="I136" s="123"/>
      <c r="J136" s="26">
        <f t="shared" si="79"/>
        <v>-1459</v>
      </c>
      <c r="K136" s="117"/>
      <c r="L136" s="117"/>
      <c r="M136" s="38">
        <f t="shared" si="80"/>
        <v>-1459</v>
      </c>
      <c r="N136" s="122"/>
      <c r="O136" s="123"/>
      <c r="P136" s="26">
        <f t="shared" si="81"/>
        <v>-1459</v>
      </c>
      <c r="Q136" s="117"/>
      <c r="R136" s="117"/>
      <c r="S136" s="38">
        <f t="shared" si="82"/>
        <v>-1459</v>
      </c>
      <c r="T136" s="106"/>
      <c r="U136" s="116"/>
      <c r="V136" s="20">
        <f t="shared" si="83"/>
        <v>-1459</v>
      </c>
      <c r="W136" s="143"/>
    </row>
    <row r="137" spans="1:23" ht="15.75" customHeight="1">
      <c r="A137" s="114"/>
      <c r="B137" s="122"/>
      <c r="C137" s="123"/>
      <c r="D137" s="26">
        <f t="shared" si="77"/>
        <v>-1459</v>
      </c>
      <c r="E137" s="117"/>
      <c r="F137" s="117"/>
      <c r="G137" s="19">
        <f t="shared" si="78"/>
        <v>-1459</v>
      </c>
      <c r="H137" s="122"/>
      <c r="I137" s="123"/>
      <c r="J137" s="26">
        <f t="shared" si="79"/>
        <v>-1459</v>
      </c>
      <c r="K137" s="117"/>
      <c r="L137" s="117"/>
      <c r="M137" s="38">
        <f t="shared" si="80"/>
        <v>-1459</v>
      </c>
      <c r="N137" s="122"/>
      <c r="O137" s="123"/>
      <c r="P137" s="26">
        <f t="shared" si="81"/>
        <v>-1459</v>
      </c>
      <c r="Q137" s="117"/>
      <c r="R137" s="117"/>
      <c r="S137" s="38">
        <f t="shared" si="82"/>
        <v>-1459</v>
      </c>
      <c r="T137" s="122"/>
      <c r="U137" s="124"/>
      <c r="V137" s="20">
        <f t="shared" si="83"/>
        <v>-1459</v>
      </c>
      <c r="W137" s="143"/>
    </row>
    <row r="138" spans="1:23" ht="15.75" customHeight="1">
      <c r="A138" s="114"/>
      <c r="B138" s="122"/>
      <c r="C138" s="123"/>
      <c r="D138" s="39">
        <f t="shared" si="77"/>
        <v>-1459</v>
      </c>
      <c r="E138" s="128"/>
      <c r="F138" s="128"/>
      <c r="G138" s="29">
        <f t="shared" si="78"/>
        <v>-1459</v>
      </c>
      <c r="H138" s="122"/>
      <c r="I138" s="123"/>
      <c r="J138" s="39">
        <f t="shared" si="79"/>
        <v>-1459</v>
      </c>
      <c r="K138" s="128"/>
      <c r="L138" s="128"/>
      <c r="M138" s="40">
        <f t="shared" si="80"/>
        <v>-1459</v>
      </c>
      <c r="N138" s="122"/>
      <c r="O138" s="123"/>
      <c r="P138" s="39">
        <f t="shared" si="81"/>
        <v>-1459</v>
      </c>
      <c r="Q138" s="128"/>
      <c r="R138" s="128"/>
      <c r="S138" s="40">
        <f t="shared" si="82"/>
        <v>-1459</v>
      </c>
      <c r="T138" s="122"/>
      <c r="U138" s="123"/>
      <c r="V138" s="49">
        <f t="shared" si="83"/>
        <v>-1459</v>
      </c>
      <c r="W138" s="143"/>
    </row>
    <row r="139" spans="1:23" ht="15.75" customHeight="1">
      <c r="A139" s="87"/>
      <c r="B139" s="77">
        <f ca="1">IFERROR(__xludf.DUMMYFUNCTION("DATE(VALUE(LEFT($B$2,4)),VALUE(MID($B$2,6,2)),VALUE(RIGHT($B$2,2)))
+ (VALUE(REGEXEXTRACT(INDIRECT(""A""&amp;ROW()+1),""\d+""))-1)*7
+ INT((COLUMN()-COLUMN($B139))/3)
"),46831)</f>
        <v>46831</v>
      </c>
      <c r="C139" s="81"/>
      <c r="D139" s="82"/>
      <c r="E139" s="77">
        <f ca="1">IFERROR(__xludf.DUMMYFUNCTION("DATE(VALUE(LEFT($B$2,4)),VALUE(MID($B$2,6,2)),VALUE(RIGHT($B$2,2)))
+ (VALUE(REGEXEXTRACT(INDIRECT(""A""&amp;ROW()+1),""\d+""))-1)*7
+ INT((COLUMN()-COLUMN($B139))/3)
"),46832)</f>
        <v>46832</v>
      </c>
      <c r="F139" s="81"/>
      <c r="G139" s="82"/>
      <c r="H139" s="77">
        <f ca="1">IFERROR(__xludf.DUMMYFUNCTION("DATE(VALUE(LEFT($B$2,4)),VALUE(MID($B$2,6,2)),VALUE(RIGHT($B$2,2)))
+ (VALUE(REGEXEXTRACT(INDIRECT(""A""&amp;ROW()+1),""\d+""))-1)*7
+ INT((COLUMN()-COLUMN($B139))/3)
"),46833)</f>
        <v>46833</v>
      </c>
      <c r="I139" s="81"/>
      <c r="J139" s="82"/>
      <c r="K139" s="77">
        <f ca="1">IFERROR(__xludf.DUMMYFUNCTION("DATE(VALUE(LEFT($B$2,4)),VALUE(MID($B$2,6,2)),VALUE(RIGHT($B$2,2)))
+ (VALUE(REGEXEXTRACT(INDIRECT(""A""&amp;ROW()+1),""\d+""))-1)*7
+ INT((COLUMN()-COLUMN($B139))/3)
"),46834)</f>
        <v>46834</v>
      </c>
      <c r="L139" s="81"/>
      <c r="M139" s="82"/>
      <c r="N139" s="77">
        <f ca="1">IFERROR(__xludf.DUMMYFUNCTION("DATE(VALUE(LEFT($B$2,4)),VALUE(MID($B$2,6,2)),VALUE(RIGHT($B$2,2)))
+ (VALUE(REGEXEXTRACT(INDIRECT(""A""&amp;ROW()+1),""\d+""))-1)*7
+ INT((COLUMN()-COLUMN($B139))/3)
"),46835)</f>
        <v>46835</v>
      </c>
      <c r="O139" s="81"/>
      <c r="P139" s="82"/>
      <c r="Q139" s="77">
        <f ca="1">IFERROR(__xludf.DUMMYFUNCTION("DATE(VALUE(LEFT($B$2,4)),VALUE(MID($B$2,6,2)),VALUE(RIGHT($B$2,2)))
+ (VALUE(REGEXEXTRACT(INDIRECT(""A""&amp;ROW()+1),""\d+""))-1)*7
+ INT((COLUMN()-COLUMN($B139))/3)
"),46836)</f>
        <v>46836</v>
      </c>
      <c r="R139" s="81"/>
      <c r="S139" s="82"/>
      <c r="T139" s="77">
        <f ca="1">IFERROR(__xludf.DUMMYFUNCTION("DATE(VALUE(LEFT($B$2,4)),VALUE(MID($B$2,6,2)),VALUE(RIGHT($B$2,2)))
+ (VALUE(REGEXEXTRACT(INDIRECT(""A""&amp;ROW()+1),""\d+""))-1)*7
+ INT((COLUMN()-COLUMN($B139))/3)
"),46837)</f>
        <v>46837</v>
      </c>
      <c r="U139" s="81"/>
      <c r="V139" s="82"/>
      <c r="W139" s="52" t="s">
        <v>20</v>
      </c>
    </row>
    <row r="140" spans="1:23" ht="15.75" customHeight="1">
      <c r="A140" s="47" t="s">
        <v>148</v>
      </c>
      <c r="B140" s="109"/>
      <c r="C140" s="109"/>
      <c r="D140" s="50">
        <f>V138+C140</f>
        <v>-1459</v>
      </c>
      <c r="E140" s="112"/>
      <c r="F140" s="111"/>
      <c r="G140" s="17">
        <f>D150+F140</f>
        <v>-1459</v>
      </c>
      <c r="H140" s="132"/>
      <c r="I140" s="109"/>
      <c r="J140" s="42">
        <f>G150+I140</f>
        <v>-1459</v>
      </c>
      <c r="K140" s="110"/>
      <c r="L140" s="111"/>
      <c r="M140" s="18">
        <f>J150+L140</f>
        <v>-1459</v>
      </c>
      <c r="N140" s="113"/>
      <c r="O140" s="109"/>
      <c r="P140" s="35">
        <f>M150+O140</f>
        <v>-1459</v>
      </c>
      <c r="Q140" s="112"/>
      <c r="R140" s="111"/>
      <c r="S140" s="18">
        <f>P150+R140</f>
        <v>-1459</v>
      </c>
      <c r="T140" s="113"/>
      <c r="U140" s="109"/>
      <c r="V140" s="50">
        <f>S150+U140</f>
        <v>-1459</v>
      </c>
      <c r="W140" s="172"/>
    </row>
    <row r="141" spans="1:23" ht="15.75" customHeight="1">
      <c r="A141" s="114"/>
      <c r="B141" s="117"/>
      <c r="C141" s="117"/>
      <c r="D141" s="45">
        <f t="shared" ref="D141:D150" si="84">D140+C141</f>
        <v>-1459</v>
      </c>
      <c r="E141" s="106"/>
      <c r="F141" s="116"/>
      <c r="G141" s="26">
        <f t="shared" ref="G141:G150" si="85">G140+F141</f>
        <v>-1459</v>
      </c>
      <c r="H141" s="133"/>
      <c r="I141" s="117"/>
      <c r="J141" s="19">
        <f t="shared" ref="J141:J150" si="86">J140+I141</f>
        <v>-1459</v>
      </c>
      <c r="K141" s="116"/>
      <c r="L141" s="107"/>
      <c r="M141" s="26">
        <f t="shared" ref="M141:M150" si="87">M140+L141</f>
        <v>-1459</v>
      </c>
      <c r="N141" s="136"/>
      <c r="O141" s="136"/>
      <c r="P141" s="38">
        <f t="shared" ref="P141:P150" si="88">P140+O141</f>
        <v>-1459</v>
      </c>
      <c r="Q141" s="106"/>
      <c r="R141" s="107"/>
      <c r="S141" s="26">
        <f t="shared" ref="S141:S150" si="89">S140+R141</f>
        <v>-1459</v>
      </c>
      <c r="T141" s="136"/>
      <c r="U141" s="136"/>
      <c r="V141" s="45">
        <f t="shared" ref="V141:V150" si="90">V140+U141</f>
        <v>-1459</v>
      </c>
      <c r="W141" s="143"/>
    </row>
    <row r="142" spans="1:23" ht="15.75" customHeight="1">
      <c r="A142" s="114"/>
      <c r="B142" s="117"/>
      <c r="C142" s="117"/>
      <c r="D142" s="45">
        <f t="shared" si="84"/>
        <v>-1459</v>
      </c>
      <c r="E142" s="106"/>
      <c r="F142" s="116"/>
      <c r="G142" s="26">
        <f t="shared" si="85"/>
        <v>-1459</v>
      </c>
      <c r="H142" s="133"/>
      <c r="I142" s="117"/>
      <c r="J142" s="19">
        <f t="shared" si="86"/>
        <v>-1459</v>
      </c>
      <c r="K142" s="116"/>
      <c r="L142" s="107"/>
      <c r="M142" s="26">
        <f t="shared" si="87"/>
        <v>-1459</v>
      </c>
      <c r="N142" s="117"/>
      <c r="O142" s="117"/>
      <c r="P142" s="38">
        <f t="shared" si="88"/>
        <v>-1459</v>
      </c>
      <c r="Q142" s="106"/>
      <c r="R142" s="107"/>
      <c r="S142" s="26">
        <f t="shared" si="89"/>
        <v>-1459</v>
      </c>
      <c r="T142" s="136"/>
      <c r="U142" s="136"/>
      <c r="V142" s="45">
        <f t="shared" si="90"/>
        <v>-1459</v>
      </c>
      <c r="W142" s="143"/>
    </row>
    <row r="143" spans="1:23" ht="15.75" customHeight="1">
      <c r="A143" s="114"/>
      <c r="B143" s="117"/>
      <c r="C143" s="117"/>
      <c r="D143" s="45">
        <f t="shared" si="84"/>
        <v>-1459</v>
      </c>
      <c r="E143" s="106"/>
      <c r="F143" s="116"/>
      <c r="G143" s="26">
        <f t="shared" si="85"/>
        <v>-1459</v>
      </c>
      <c r="H143" s="133"/>
      <c r="I143" s="117"/>
      <c r="J143" s="19">
        <f t="shared" si="86"/>
        <v>-1459</v>
      </c>
      <c r="K143" s="116"/>
      <c r="L143" s="107"/>
      <c r="M143" s="26">
        <f t="shared" si="87"/>
        <v>-1459</v>
      </c>
      <c r="N143" s="117"/>
      <c r="O143" s="117"/>
      <c r="P143" s="38">
        <f t="shared" si="88"/>
        <v>-1459</v>
      </c>
      <c r="Q143" s="106"/>
      <c r="R143" s="116"/>
      <c r="S143" s="26">
        <f t="shared" si="89"/>
        <v>-1459</v>
      </c>
      <c r="T143" s="136"/>
      <c r="U143" s="136"/>
      <c r="V143" s="45">
        <f t="shared" si="90"/>
        <v>-1459</v>
      </c>
      <c r="W143" s="143"/>
    </row>
    <row r="144" spans="1:23" ht="15.75" customHeight="1">
      <c r="A144" s="114"/>
      <c r="B144" s="117"/>
      <c r="C144" s="117"/>
      <c r="D144" s="45">
        <f t="shared" si="84"/>
        <v>-1459</v>
      </c>
      <c r="E144" s="106"/>
      <c r="F144" s="116"/>
      <c r="G144" s="26">
        <f t="shared" si="85"/>
        <v>-1459</v>
      </c>
      <c r="H144" s="133"/>
      <c r="I144" s="117"/>
      <c r="J144" s="19">
        <f t="shared" si="86"/>
        <v>-1459</v>
      </c>
      <c r="K144" s="116"/>
      <c r="L144" s="107"/>
      <c r="M144" s="26">
        <f t="shared" si="87"/>
        <v>-1459</v>
      </c>
      <c r="N144" s="117"/>
      <c r="O144" s="117"/>
      <c r="P144" s="38">
        <f t="shared" si="88"/>
        <v>-1459</v>
      </c>
      <c r="Q144" s="106"/>
      <c r="R144" s="116"/>
      <c r="S144" s="26">
        <f t="shared" si="89"/>
        <v>-1459</v>
      </c>
      <c r="T144" s="136"/>
      <c r="U144" s="136"/>
      <c r="V144" s="45">
        <f t="shared" si="90"/>
        <v>-1459</v>
      </c>
      <c r="W144" s="143"/>
    </row>
    <row r="145" spans="1:23" ht="15.75" customHeight="1">
      <c r="A145" s="114"/>
      <c r="B145" s="117"/>
      <c r="C145" s="117"/>
      <c r="D145" s="45">
        <f t="shared" si="84"/>
        <v>-1459</v>
      </c>
      <c r="E145" s="106"/>
      <c r="F145" s="116"/>
      <c r="G145" s="26">
        <f t="shared" si="85"/>
        <v>-1459</v>
      </c>
      <c r="H145" s="133"/>
      <c r="I145" s="117"/>
      <c r="J145" s="19">
        <f t="shared" si="86"/>
        <v>-1459</v>
      </c>
      <c r="K145" s="116"/>
      <c r="L145" s="107"/>
      <c r="M145" s="26">
        <f t="shared" si="87"/>
        <v>-1459</v>
      </c>
      <c r="N145" s="117"/>
      <c r="O145" s="117"/>
      <c r="P145" s="38">
        <f t="shared" si="88"/>
        <v>-1459</v>
      </c>
      <c r="Q145" s="106"/>
      <c r="R145" s="116"/>
      <c r="S145" s="26">
        <f t="shared" si="89"/>
        <v>-1459</v>
      </c>
      <c r="T145" s="136"/>
      <c r="U145" s="136"/>
      <c r="V145" s="45">
        <f t="shared" si="90"/>
        <v>-1459</v>
      </c>
      <c r="W145" s="143"/>
    </row>
    <row r="146" spans="1:23" ht="15.75" customHeight="1">
      <c r="A146" s="114"/>
      <c r="B146" s="117"/>
      <c r="C146" s="117"/>
      <c r="D146" s="45">
        <f t="shared" si="84"/>
        <v>-1459</v>
      </c>
      <c r="E146" s="106"/>
      <c r="F146" s="107"/>
      <c r="G146" s="26">
        <f t="shared" si="85"/>
        <v>-1459</v>
      </c>
      <c r="H146" s="133"/>
      <c r="I146" s="117"/>
      <c r="J146" s="19">
        <f t="shared" si="86"/>
        <v>-1459</v>
      </c>
      <c r="K146" s="116"/>
      <c r="L146" s="107"/>
      <c r="M146" s="26">
        <f t="shared" si="87"/>
        <v>-1459</v>
      </c>
      <c r="N146" s="117"/>
      <c r="O146" s="117"/>
      <c r="P146" s="38">
        <f t="shared" si="88"/>
        <v>-1459</v>
      </c>
      <c r="Q146" s="106"/>
      <c r="R146" s="107"/>
      <c r="S146" s="26">
        <f t="shared" si="89"/>
        <v>-1459</v>
      </c>
      <c r="T146" s="136"/>
      <c r="U146" s="136"/>
      <c r="V146" s="45">
        <f t="shared" si="90"/>
        <v>-1459</v>
      </c>
      <c r="W146" s="143"/>
    </row>
    <row r="147" spans="1:23" ht="15.75" customHeight="1">
      <c r="A147" s="114"/>
      <c r="B147" s="117"/>
      <c r="C147" s="117"/>
      <c r="D147" s="45">
        <f t="shared" si="84"/>
        <v>-1459</v>
      </c>
      <c r="E147" s="106"/>
      <c r="F147" s="107"/>
      <c r="G147" s="26">
        <f t="shared" si="85"/>
        <v>-1459</v>
      </c>
      <c r="H147" s="133"/>
      <c r="I147" s="117"/>
      <c r="J147" s="19">
        <f t="shared" si="86"/>
        <v>-1459</v>
      </c>
      <c r="K147" s="116"/>
      <c r="L147" s="107"/>
      <c r="M147" s="26">
        <f t="shared" si="87"/>
        <v>-1459</v>
      </c>
      <c r="N147" s="117"/>
      <c r="O147" s="117"/>
      <c r="P147" s="38">
        <f t="shared" si="88"/>
        <v>-1459</v>
      </c>
      <c r="Q147" s="106"/>
      <c r="R147" s="107"/>
      <c r="S147" s="26">
        <f t="shared" si="89"/>
        <v>-1459</v>
      </c>
      <c r="T147" s="136"/>
      <c r="U147" s="136"/>
      <c r="V147" s="45">
        <f t="shared" si="90"/>
        <v>-1459</v>
      </c>
      <c r="W147" s="143"/>
    </row>
    <row r="148" spans="1:23" ht="15.75" customHeight="1">
      <c r="A148" s="114"/>
      <c r="B148" s="117"/>
      <c r="C148" s="117"/>
      <c r="D148" s="45">
        <f t="shared" si="84"/>
        <v>-1459</v>
      </c>
      <c r="E148" s="106"/>
      <c r="F148" s="107"/>
      <c r="G148" s="26">
        <f t="shared" si="85"/>
        <v>-1459</v>
      </c>
      <c r="H148" s="133"/>
      <c r="I148" s="117"/>
      <c r="J148" s="19">
        <f t="shared" si="86"/>
        <v>-1459</v>
      </c>
      <c r="K148" s="116"/>
      <c r="L148" s="107"/>
      <c r="M148" s="26">
        <f t="shared" si="87"/>
        <v>-1459</v>
      </c>
      <c r="N148" s="117"/>
      <c r="O148" s="117"/>
      <c r="P148" s="38">
        <f t="shared" si="88"/>
        <v>-1459</v>
      </c>
      <c r="Q148" s="106"/>
      <c r="R148" s="107"/>
      <c r="S148" s="26">
        <f t="shared" si="89"/>
        <v>-1459</v>
      </c>
      <c r="T148" s="136"/>
      <c r="U148" s="136"/>
      <c r="V148" s="45">
        <f t="shared" si="90"/>
        <v>-1459</v>
      </c>
      <c r="W148" s="143"/>
    </row>
    <row r="149" spans="1:23" ht="15.75" customHeight="1">
      <c r="A149" s="114"/>
      <c r="B149" s="117"/>
      <c r="C149" s="117"/>
      <c r="D149" s="45">
        <f t="shared" si="84"/>
        <v>-1459</v>
      </c>
      <c r="E149" s="122"/>
      <c r="F149" s="123"/>
      <c r="G149" s="26">
        <f t="shared" si="85"/>
        <v>-1459</v>
      </c>
      <c r="H149" s="133"/>
      <c r="I149" s="117"/>
      <c r="J149" s="19">
        <f t="shared" si="86"/>
        <v>-1459</v>
      </c>
      <c r="K149" s="124"/>
      <c r="L149" s="123"/>
      <c r="M149" s="26">
        <f t="shared" si="87"/>
        <v>-1459</v>
      </c>
      <c r="N149" s="117"/>
      <c r="O149" s="117"/>
      <c r="P149" s="38">
        <f t="shared" si="88"/>
        <v>-1459</v>
      </c>
      <c r="Q149" s="122"/>
      <c r="R149" s="123"/>
      <c r="S149" s="26">
        <f t="shared" si="89"/>
        <v>-1459</v>
      </c>
      <c r="T149" s="136"/>
      <c r="U149" s="136"/>
      <c r="V149" s="45">
        <f t="shared" si="90"/>
        <v>-1459</v>
      </c>
      <c r="W149" s="143"/>
    </row>
    <row r="150" spans="1:23" ht="15.75" customHeight="1">
      <c r="A150" s="114"/>
      <c r="B150" s="128"/>
      <c r="C150" s="128"/>
      <c r="D150" s="46">
        <f t="shared" si="84"/>
        <v>-1459</v>
      </c>
      <c r="E150" s="122"/>
      <c r="F150" s="123"/>
      <c r="G150" s="39">
        <f t="shared" si="85"/>
        <v>-1459</v>
      </c>
      <c r="H150" s="140"/>
      <c r="I150" s="128"/>
      <c r="J150" s="29">
        <f t="shared" si="86"/>
        <v>-1459</v>
      </c>
      <c r="K150" s="124"/>
      <c r="L150" s="123"/>
      <c r="M150" s="39">
        <f t="shared" si="87"/>
        <v>-1459</v>
      </c>
      <c r="N150" s="128"/>
      <c r="O150" s="128"/>
      <c r="P150" s="40">
        <f t="shared" si="88"/>
        <v>-1459</v>
      </c>
      <c r="Q150" s="122"/>
      <c r="R150" s="123"/>
      <c r="S150" s="39">
        <f t="shared" si="89"/>
        <v>-1459</v>
      </c>
      <c r="T150" s="141"/>
      <c r="U150" s="141"/>
      <c r="V150" s="46">
        <f t="shared" si="90"/>
        <v>-1459</v>
      </c>
      <c r="W150" s="143"/>
    </row>
    <row r="151" spans="1:23" ht="15.75" customHeight="1">
      <c r="A151" s="87"/>
      <c r="B151" s="77">
        <f ca="1">IFERROR(__xludf.DUMMYFUNCTION("DATE(VALUE(LEFT($B$2,4)),VALUE(MID($B$2,6,2)),VALUE(RIGHT($B$2,2)))
+ (VALUE(REGEXEXTRACT(INDIRECT(""A""&amp;ROW()+1),""\d+""))-1)*7
+ INT((COLUMN()-COLUMN($B151))/3)
"),46838)</f>
        <v>46838</v>
      </c>
      <c r="C151" s="81"/>
      <c r="D151" s="82"/>
      <c r="E151" s="77">
        <f ca="1">IFERROR(__xludf.DUMMYFUNCTION("DATE(VALUE(LEFT($B$2,4)),VALUE(MID($B$2,6,2)),VALUE(RIGHT($B$2,2)))
+ (VALUE(REGEXEXTRACT(INDIRECT(""A""&amp;ROW()+1),""\d+""))-1)*7
+ INT((COLUMN()-COLUMN($B151))/3)
"),46839)</f>
        <v>46839</v>
      </c>
      <c r="F151" s="81"/>
      <c r="G151" s="82"/>
      <c r="H151" s="77">
        <f ca="1">IFERROR(__xludf.DUMMYFUNCTION("DATE(VALUE(LEFT($B$2,4)),VALUE(MID($B$2,6,2)),VALUE(RIGHT($B$2,2)))
+ (VALUE(REGEXEXTRACT(INDIRECT(""A""&amp;ROW()+1),""\d+""))-1)*7
+ INT((COLUMN()-COLUMN($B151))/3)
"),46840)</f>
        <v>46840</v>
      </c>
      <c r="I151" s="81"/>
      <c r="J151" s="82"/>
      <c r="K151" s="77">
        <f ca="1">IFERROR(__xludf.DUMMYFUNCTION("DATE(VALUE(LEFT($B$2,4)),VALUE(MID($B$2,6,2)),VALUE(RIGHT($B$2,2)))
+ (VALUE(REGEXEXTRACT(INDIRECT(""A""&amp;ROW()+1),""\d+""))-1)*7
+ INT((COLUMN()-COLUMN($B151))/3)
"),46841)</f>
        <v>46841</v>
      </c>
      <c r="L151" s="81"/>
      <c r="M151" s="82"/>
      <c r="N151" s="77">
        <f ca="1">IFERROR(__xludf.DUMMYFUNCTION("DATE(VALUE(LEFT($B$2,4)),VALUE(MID($B$2,6,2)),VALUE(RIGHT($B$2,2)))
+ (VALUE(REGEXEXTRACT(INDIRECT(""A""&amp;ROW()+1),""\d+""))-1)*7
+ INT((COLUMN()-COLUMN($B151))/3)
"),46842)</f>
        <v>46842</v>
      </c>
      <c r="O151" s="81"/>
      <c r="P151" s="82"/>
      <c r="Q151" s="77">
        <f ca="1">IFERROR(__xludf.DUMMYFUNCTION("DATE(VALUE(LEFT($B$2,4)),VALUE(MID($B$2,6,2)),VALUE(RIGHT($B$2,2)))
+ (VALUE(REGEXEXTRACT(INDIRECT(""A""&amp;ROW()+1),""\d+""))-1)*7
+ INT((COLUMN()-COLUMN($B151))/3)
"),46843)</f>
        <v>46843</v>
      </c>
      <c r="R151" s="81"/>
      <c r="S151" s="82"/>
      <c r="T151" s="77">
        <f ca="1">IFERROR(__xludf.DUMMYFUNCTION("DATE(VALUE(LEFT($B$2,4)),VALUE(MID($B$2,6,2)),VALUE(RIGHT($B$2,2)))
+ (VALUE(REGEXEXTRACT(INDIRECT(""A""&amp;ROW()+1),""\d+""))-1)*7
+ INT((COLUMN()-COLUMN($B151))/3)
"),46844)</f>
        <v>46844</v>
      </c>
      <c r="U151" s="81"/>
      <c r="V151" s="82"/>
      <c r="W151" s="143"/>
    </row>
    <row r="152" spans="1:23" ht="15.75" customHeight="1">
      <c r="A152" s="51" t="s">
        <v>149</v>
      </c>
      <c r="B152" s="112"/>
      <c r="C152" s="111"/>
      <c r="D152" s="48">
        <f>V150+C152</f>
        <v>-1459</v>
      </c>
      <c r="E152" s="113"/>
      <c r="F152" s="109"/>
      <c r="G152" s="42">
        <f>D162+F152</f>
        <v>-1459</v>
      </c>
      <c r="H152" s="110"/>
      <c r="I152" s="111"/>
      <c r="J152" s="17">
        <f>G162+I152</f>
        <v>-1459</v>
      </c>
      <c r="K152" s="132"/>
      <c r="L152" s="109"/>
      <c r="M152" s="35">
        <f>J162+L152</f>
        <v>-1459</v>
      </c>
      <c r="N152" s="112"/>
      <c r="O152" s="111"/>
      <c r="P152" s="17">
        <f>M162+O152</f>
        <v>-1459</v>
      </c>
      <c r="Q152" s="109"/>
      <c r="R152" s="109"/>
      <c r="S152" s="35">
        <f>P162+R152</f>
        <v>-1459</v>
      </c>
      <c r="T152" s="112"/>
      <c r="U152" s="111"/>
      <c r="V152" s="48">
        <f>S162+U152</f>
        <v>-1459</v>
      </c>
      <c r="W152" s="143"/>
    </row>
    <row r="153" spans="1:23" ht="15.75" customHeight="1">
      <c r="A153" s="114"/>
      <c r="B153" s="106"/>
      <c r="C153" s="107"/>
      <c r="D153" s="20">
        <f t="shared" ref="D153:D162" si="91">D152+C153</f>
        <v>-1459</v>
      </c>
      <c r="E153" s="118"/>
      <c r="F153" s="117"/>
      <c r="G153" s="19">
        <f t="shared" ref="G153:G162" si="92">G152+F153</f>
        <v>-1459</v>
      </c>
      <c r="H153" s="116"/>
      <c r="I153" s="107"/>
      <c r="J153" s="26">
        <f t="shared" ref="J153:J162" si="93">J152+I153</f>
        <v>-1459</v>
      </c>
      <c r="K153" s="133"/>
      <c r="L153" s="117"/>
      <c r="M153" s="38">
        <f t="shared" ref="M153:M162" si="94">M152+L153</f>
        <v>-1459</v>
      </c>
      <c r="N153" s="106"/>
      <c r="O153" s="107"/>
      <c r="P153" s="26">
        <f t="shared" ref="P153:P162" si="95">P152+O153</f>
        <v>-1459</v>
      </c>
      <c r="Q153" s="117"/>
      <c r="R153" s="117"/>
      <c r="S153" s="38">
        <f t="shared" ref="S153:S162" si="96">S152+R153</f>
        <v>-1459</v>
      </c>
      <c r="T153" s="106"/>
      <c r="U153" s="107"/>
      <c r="V153" s="20">
        <f t="shared" ref="V153:V162" si="97">V152+U153</f>
        <v>-1459</v>
      </c>
      <c r="W153" s="143"/>
    </row>
    <row r="154" spans="1:23" ht="15.75" customHeight="1">
      <c r="A154" s="114"/>
      <c r="B154" s="106"/>
      <c r="C154" s="107"/>
      <c r="D154" s="20">
        <f t="shared" si="91"/>
        <v>-1459</v>
      </c>
      <c r="E154" s="118"/>
      <c r="F154" s="117"/>
      <c r="G154" s="19">
        <f t="shared" si="92"/>
        <v>-1459</v>
      </c>
      <c r="H154" s="116"/>
      <c r="I154" s="107"/>
      <c r="J154" s="26">
        <f t="shared" si="93"/>
        <v>-1459</v>
      </c>
      <c r="K154" s="133"/>
      <c r="L154" s="117"/>
      <c r="M154" s="38">
        <f t="shared" si="94"/>
        <v>-1459</v>
      </c>
      <c r="N154" s="106"/>
      <c r="O154" s="107"/>
      <c r="P154" s="26">
        <f t="shared" si="95"/>
        <v>-1459</v>
      </c>
      <c r="Q154" s="117"/>
      <c r="R154" s="117"/>
      <c r="S154" s="38">
        <f t="shared" si="96"/>
        <v>-1459</v>
      </c>
      <c r="T154" s="106"/>
      <c r="U154" s="116"/>
      <c r="V154" s="20">
        <f t="shared" si="97"/>
        <v>-1459</v>
      </c>
      <c r="W154" s="143"/>
    </row>
    <row r="155" spans="1:23" ht="15.75" customHeight="1">
      <c r="A155" s="114"/>
      <c r="B155" s="106"/>
      <c r="C155" s="107"/>
      <c r="D155" s="20">
        <f t="shared" si="91"/>
        <v>-1459</v>
      </c>
      <c r="E155" s="118"/>
      <c r="F155" s="117"/>
      <c r="G155" s="19">
        <f t="shared" si="92"/>
        <v>-1459</v>
      </c>
      <c r="H155" s="116"/>
      <c r="I155" s="107"/>
      <c r="J155" s="26">
        <f t="shared" si="93"/>
        <v>-1459</v>
      </c>
      <c r="K155" s="133"/>
      <c r="L155" s="117"/>
      <c r="M155" s="38">
        <f t="shared" si="94"/>
        <v>-1459</v>
      </c>
      <c r="N155" s="106"/>
      <c r="O155" s="107"/>
      <c r="P155" s="26">
        <f t="shared" si="95"/>
        <v>-1459</v>
      </c>
      <c r="Q155" s="117"/>
      <c r="R155" s="117"/>
      <c r="S155" s="38">
        <f t="shared" si="96"/>
        <v>-1459</v>
      </c>
      <c r="T155" s="106"/>
      <c r="U155" s="116"/>
      <c r="V155" s="20">
        <f t="shared" si="97"/>
        <v>-1459</v>
      </c>
      <c r="W155" s="143"/>
    </row>
    <row r="156" spans="1:23" ht="15.75" customHeight="1">
      <c r="A156" s="114"/>
      <c r="B156" s="106"/>
      <c r="C156" s="107"/>
      <c r="D156" s="20">
        <f t="shared" si="91"/>
        <v>-1459</v>
      </c>
      <c r="E156" s="118"/>
      <c r="F156" s="117"/>
      <c r="G156" s="19">
        <f t="shared" si="92"/>
        <v>-1459</v>
      </c>
      <c r="H156" s="116"/>
      <c r="I156" s="107"/>
      <c r="J156" s="26">
        <f t="shared" si="93"/>
        <v>-1459</v>
      </c>
      <c r="K156" s="133"/>
      <c r="L156" s="117"/>
      <c r="M156" s="38">
        <f t="shared" si="94"/>
        <v>-1459</v>
      </c>
      <c r="N156" s="106"/>
      <c r="O156" s="107"/>
      <c r="P156" s="26">
        <f t="shared" si="95"/>
        <v>-1459</v>
      </c>
      <c r="Q156" s="117"/>
      <c r="R156" s="117"/>
      <c r="S156" s="38">
        <f t="shared" si="96"/>
        <v>-1459</v>
      </c>
      <c r="T156" s="106"/>
      <c r="U156" s="116"/>
      <c r="V156" s="20">
        <f t="shared" si="97"/>
        <v>-1459</v>
      </c>
      <c r="W156" s="143"/>
    </row>
    <row r="157" spans="1:23" ht="15.75" customHeight="1">
      <c r="A157" s="114"/>
      <c r="B157" s="106"/>
      <c r="C157" s="107"/>
      <c r="D157" s="20">
        <f t="shared" si="91"/>
        <v>-1459</v>
      </c>
      <c r="E157" s="118"/>
      <c r="F157" s="117"/>
      <c r="G157" s="19">
        <f t="shared" si="92"/>
        <v>-1459</v>
      </c>
      <c r="H157" s="116"/>
      <c r="I157" s="107"/>
      <c r="J157" s="26">
        <f t="shared" si="93"/>
        <v>-1459</v>
      </c>
      <c r="K157" s="117"/>
      <c r="L157" s="117"/>
      <c r="M157" s="38">
        <f t="shared" si="94"/>
        <v>-1459</v>
      </c>
      <c r="N157" s="106"/>
      <c r="O157" s="107"/>
      <c r="P157" s="26">
        <f t="shared" si="95"/>
        <v>-1459</v>
      </c>
      <c r="Q157" s="117"/>
      <c r="R157" s="117"/>
      <c r="S157" s="38">
        <f t="shared" si="96"/>
        <v>-1459</v>
      </c>
      <c r="T157" s="106"/>
      <c r="U157" s="116"/>
      <c r="V157" s="20">
        <f t="shared" si="97"/>
        <v>-1459</v>
      </c>
      <c r="W157" s="143"/>
    </row>
    <row r="158" spans="1:23" ht="15.75" customHeight="1">
      <c r="A158" s="114"/>
      <c r="B158" s="106"/>
      <c r="C158" s="107"/>
      <c r="D158" s="20">
        <f t="shared" si="91"/>
        <v>-1459</v>
      </c>
      <c r="E158" s="118"/>
      <c r="F158" s="117"/>
      <c r="G158" s="19">
        <f t="shared" si="92"/>
        <v>-1459</v>
      </c>
      <c r="H158" s="116"/>
      <c r="I158" s="107"/>
      <c r="J158" s="26">
        <f t="shared" si="93"/>
        <v>-1459</v>
      </c>
      <c r="K158" s="117"/>
      <c r="L158" s="117"/>
      <c r="M158" s="38">
        <f t="shared" si="94"/>
        <v>-1459</v>
      </c>
      <c r="N158" s="106"/>
      <c r="O158" s="107"/>
      <c r="P158" s="26">
        <f t="shared" si="95"/>
        <v>-1459</v>
      </c>
      <c r="Q158" s="117"/>
      <c r="R158" s="117"/>
      <c r="S158" s="38">
        <f t="shared" si="96"/>
        <v>-1459</v>
      </c>
      <c r="T158" s="106"/>
      <c r="U158" s="116"/>
      <c r="V158" s="20">
        <f t="shared" si="97"/>
        <v>-1459</v>
      </c>
      <c r="W158" s="143"/>
    </row>
    <row r="159" spans="1:23" ht="15.75" customHeight="1">
      <c r="A159" s="114"/>
      <c r="B159" s="106"/>
      <c r="C159" s="107"/>
      <c r="D159" s="20">
        <f t="shared" si="91"/>
        <v>-1459</v>
      </c>
      <c r="E159" s="118"/>
      <c r="F159" s="117"/>
      <c r="G159" s="19">
        <f t="shared" si="92"/>
        <v>-1459</v>
      </c>
      <c r="H159" s="116"/>
      <c r="I159" s="107"/>
      <c r="J159" s="26">
        <f t="shared" si="93"/>
        <v>-1459</v>
      </c>
      <c r="K159" s="117"/>
      <c r="L159" s="117"/>
      <c r="M159" s="38">
        <f t="shared" si="94"/>
        <v>-1459</v>
      </c>
      <c r="N159" s="106"/>
      <c r="O159" s="107"/>
      <c r="P159" s="26">
        <f t="shared" si="95"/>
        <v>-1459</v>
      </c>
      <c r="Q159" s="117"/>
      <c r="R159" s="117"/>
      <c r="S159" s="38">
        <f t="shared" si="96"/>
        <v>-1459</v>
      </c>
      <c r="T159" s="106"/>
      <c r="U159" s="116"/>
      <c r="V159" s="20">
        <f t="shared" si="97"/>
        <v>-1459</v>
      </c>
      <c r="W159" s="143"/>
    </row>
    <row r="160" spans="1:23" ht="15.75" customHeight="1">
      <c r="A160" s="114"/>
      <c r="B160" s="122"/>
      <c r="C160" s="123"/>
      <c r="D160" s="20">
        <f t="shared" si="91"/>
        <v>-1459</v>
      </c>
      <c r="E160" s="118"/>
      <c r="F160" s="117"/>
      <c r="G160" s="19">
        <f t="shared" si="92"/>
        <v>-1459</v>
      </c>
      <c r="H160" s="124"/>
      <c r="I160" s="123"/>
      <c r="J160" s="26">
        <f t="shared" si="93"/>
        <v>-1459</v>
      </c>
      <c r="K160" s="117"/>
      <c r="L160" s="117"/>
      <c r="M160" s="38">
        <f t="shared" si="94"/>
        <v>-1459</v>
      </c>
      <c r="N160" s="106"/>
      <c r="O160" s="107"/>
      <c r="P160" s="26">
        <f t="shared" si="95"/>
        <v>-1459</v>
      </c>
      <c r="Q160" s="117"/>
      <c r="R160" s="117"/>
      <c r="S160" s="38">
        <f t="shared" si="96"/>
        <v>-1459</v>
      </c>
      <c r="T160" s="106"/>
      <c r="U160" s="116"/>
      <c r="V160" s="20">
        <f t="shared" si="97"/>
        <v>-1459</v>
      </c>
      <c r="W160" s="143"/>
    </row>
    <row r="161" spans="1:23" ht="15.75" customHeight="1">
      <c r="A161" s="114"/>
      <c r="B161" s="122"/>
      <c r="C161" s="123"/>
      <c r="D161" s="20">
        <f t="shared" si="91"/>
        <v>-1459</v>
      </c>
      <c r="E161" s="118"/>
      <c r="F161" s="117"/>
      <c r="G161" s="19">
        <f t="shared" si="92"/>
        <v>-1459</v>
      </c>
      <c r="H161" s="124"/>
      <c r="I161" s="123"/>
      <c r="J161" s="26">
        <f t="shared" si="93"/>
        <v>-1459</v>
      </c>
      <c r="K161" s="118"/>
      <c r="L161" s="117"/>
      <c r="M161" s="38">
        <f t="shared" si="94"/>
        <v>-1459</v>
      </c>
      <c r="N161" s="106"/>
      <c r="O161" s="107"/>
      <c r="P161" s="26">
        <f t="shared" si="95"/>
        <v>-1459</v>
      </c>
      <c r="Q161" s="117"/>
      <c r="R161" s="117"/>
      <c r="S161" s="38">
        <f t="shared" si="96"/>
        <v>-1459</v>
      </c>
      <c r="T161" s="122"/>
      <c r="U161" s="124"/>
      <c r="V161" s="20">
        <f t="shared" si="97"/>
        <v>-1459</v>
      </c>
      <c r="W161" s="143"/>
    </row>
    <row r="162" spans="1:23" ht="15.75" customHeight="1">
      <c r="A162" s="114"/>
      <c r="B162" s="122"/>
      <c r="C162" s="123"/>
      <c r="D162" s="49">
        <f t="shared" si="91"/>
        <v>-1459</v>
      </c>
      <c r="E162" s="154"/>
      <c r="F162" s="128"/>
      <c r="G162" s="29">
        <f t="shared" si="92"/>
        <v>-1459</v>
      </c>
      <c r="H162" s="124"/>
      <c r="I162" s="123"/>
      <c r="J162" s="39">
        <f t="shared" si="93"/>
        <v>-1459</v>
      </c>
      <c r="K162" s="140"/>
      <c r="L162" s="128"/>
      <c r="M162" s="40">
        <f t="shared" si="94"/>
        <v>-1459</v>
      </c>
      <c r="N162" s="122"/>
      <c r="O162" s="123"/>
      <c r="P162" s="39">
        <f t="shared" si="95"/>
        <v>-1459</v>
      </c>
      <c r="Q162" s="128"/>
      <c r="R162" s="128"/>
      <c r="S162" s="40">
        <f t="shared" si="96"/>
        <v>-1459</v>
      </c>
      <c r="T162" s="122"/>
      <c r="U162" s="123"/>
      <c r="V162" s="49">
        <f t="shared" si="97"/>
        <v>-1459</v>
      </c>
      <c r="W162" s="143"/>
    </row>
    <row r="163" spans="1:23" ht="15.75" customHeight="1">
      <c r="A163" s="87"/>
      <c r="B163" s="77">
        <f ca="1">IFERROR(__xludf.DUMMYFUNCTION("DATE(VALUE(LEFT($B$2,4)),VALUE(MID($B$2,6,2)),VALUE(RIGHT($B$2,2)))
+ (VALUE(REGEXEXTRACT(INDIRECT(""A""&amp;ROW()+1),""\d+""))-1)*7
+ INT((COLUMN()-COLUMN($B163))/3)
"),46845)</f>
        <v>46845</v>
      </c>
      <c r="C163" s="81"/>
      <c r="D163" s="82"/>
      <c r="E163" s="77">
        <f ca="1">IFERROR(__xludf.DUMMYFUNCTION("DATE(VALUE(LEFT($B$2,4)),VALUE(MID($B$2,6,2)),VALUE(RIGHT($B$2,2)))
+ (VALUE(REGEXEXTRACT(INDIRECT(""A""&amp;ROW()+1),""\d+""))-1)*7
+ INT((COLUMN()-COLUMN($B163))/3)
"),46846)</f>
        <v>46846</v>
      </c>
      <c r="F163" s="81"/>
      <c r="G163" s="82"/>
      <c r="H163" s="77">
        <f ca="1">IFERROR(__xludf.DUMMYFUNCTION("DATE(VALUE(LEFT($B$2,4)),VALUE(MID($B$2,6,2)),VALUE(RIGHT($B$2,2)))
+ (VALUE(REGEXEXTRACT(INDIRECT(""A""&amp;ROW()+1),""\d+""))-1)*7
+ INT((COLUMN()-COLUMN($B163))/3)
"),46847)</f>
        <v>46847</v>
      </c>
      <c r="I163" s="81"/>
      <c r="J163" s="82"/>
      <c r="K163" s="77">
        <f ca="1">IFERROR(__xludf.DUMMYFUNCTION("DATE(VALUE(LEFT($B$2,4)),VALUE(MID($B$2,6,2)),VALUE(RIGHT($B$2,2)))
+ (VALUE(REGEXEXTRACT(INDIRECT(""A""&amp;ROW()+1),""\d+""))-1)*7
+ INT((COLUMN()-COLUMN($B163))/3)
"),46848)</f>
        <v>46848</v>
      </c>
      <c r="L163" s="81"/>
      <c r="M163" s="82"/>
      <c r="N163" s="77">
        <f ca="1">IFERROR(__xludf.DUMMYFUNCTION("DATE(VALUE(LEFT($B$2,4)),VALUE(MID($B$2,6,2)),VALUE(RIGHT($B$2,2)))
+ (VALUE(REGEXEXTRACT(INDIRECT(""A""&amp;ROW()+1),""\d+""))-1)*7
+ INT((COLUMN()-COLUMN($B163))/3)
"),46849)</f>
        <v>46849</v>
      </c>
      <c r="O163" s="81"/>
      <c r="P163" s="82"/>
      <c r="Q163" s="77">
        <f ca="1">IFERROR(__xludf.DUMMYFUNCTION("DATE(VALUE(LEFT($B$2,4)),VALUE(MID($B$2,6,2)),VALUE(RIGHT($B$2,2)))
+ (VALUE(REGEXEXTRACT(INDIRECT(""A""&amp;ROW()+1),""\d+""))-1)*7
+ INT((COLUMN()-COLUMN($B163))/3)
"),46850)</f>
        <v>46850</v>
      </c>
      <c r="R163" s="81"/>
      <c r="S163" s="82"/>
      <c r="T163" s="77">
        <f ca="1">IFERROR(__xludf.DUMMYFUNCTION("DATE(VALUE(LEFT($B$2,4)),VALUE(MID($B$2,6,2)),VALUE(RIGHT($B$2,2)))
+ (VALUE(REGEXEXTRACT(INDIRECT(""A""&amp;ROW()+1),""\d+""))-1)*7
+ INT((COLUMN()-COLUMN($B163))/3)
"),46851)</f>
        <v>46851</v>
      </c>
      <c r="U163" s="81"/>
      <c r="V163" s="82"/>
      <c r="W163" s="52" t="s">
        <v>20</v>
      </c>
    </row>
    <row r="164" spans="1:23" ht="15.75" customHeight="1">
      <c r="A164" s="47" t="s">
        <v>150</v>
      </c>
      <c r="B164" s="109"/>
      <c r="C164" s="109"/>
      <c r="D164" s="50">
        <f>V162+C164</f>
        <v>-1459</v>
      </c>
      <c r="E164" s="112"/>
      <c r="F164" s="111"/>
      <c r="G164" s="17">
        <f>D174+F164</f>
        <v>-1459</v>
      </c>
      <c r="H164" s="132"/>
      <c r="I164" s="109"/>
      <c r="J164" s="42">
        <f>G174+I164</f>
        <v>-1459</v>
      </c>
      <c r="K164" s="110"/>
      <c r="L164" s="111"/>
      <c r="M164" s="18">
        <f>J174+L164</f>
        <v>-1459</v>
      </c>
      <c r="N164" s="113"/>
      <c r="O164" s="109"/>
      <c r="P164" s="35">
        <f>M174+O164</f>
        <v>-1459</v>
      </c>
      <c r="Q164" s="112"/>
      <c r="R164" s="111"/>
      <c r="S164" s="18">
        <f>P174+R164</f>
        <v>-1459</v>
      </c>
      <c r="T164" s="113"/>
      <c r="U164" s="109"/>
      <c r="V164" s="50">
        <f>S174+U164</f>
        <v>-1459</v>
      </c>
      <c r="W164" s="172"/>
    </row>
    <row r="165" spans="1:23" ht="15.75" customHeight="1">
      <c r="A165" s="114"/>
      <c r="B165" s="117"/>
      <c r="C165" s="117"/>
      <c r="D165" s="45">
        <f t="shared" ref="D165:D174" si="98">D164+C165</f>
        <v>-1459</v>
      </c>
      <c r="E165" s="106"/>
      <c r="F165" s="107"/>
      <c r="G165" s="26">
        <f t="shared" ref="G165:G174" si="99">G164+F165</f>
        <v>-1459</v>
      </c>
      <c r="H165" s="117"/>
      <c r="I165" s="117"/>
      <c r="J165" s="19">
        <f t="shared" ref="J165:J174" si="100">J164+I165</f>
        <v>-1459</v>
      </c>
      <c r="K165" s="106"/>
      <c r="L165" s="107"/>
      <c r="M165" s="26">
        <f t="shared" ref="M165:M174" si="101">M164+L165</f>
        <v>-1459</v>
      </c>
      <c r="N165" s="118"/>
      <c r="O165" s="117"/>
      <c r="P165" s="38">
        <f t="shared" ref="P165:P174" si="102">P164+O165</f>
        <v>-1459</v>
      </c>
      <c r="Q165" s="106"/>
      <c r="R165" s="107"/>
      <c r="S165" s="26">
        <f t="shared" ref="S165:S174" si="103">S164+R165</f>
        <v>-1459</v>
      </c>
      <c r="T165" s="136"/>
      <c r="U165" s="136"/>
      <c r="V165" s="45">
        <f t="shared" ref="V165:V174" si="104">V164+U165</f>
        <v>-1459</v>
      </c>
      <c r="W165" s="143"/>
    </row>
    <row r="166" spans="1:23" ht="15.75" customHeight="1">
      <c r="A166" s="114"/>
      <c r="B166" s="117"/>
      <c r="C166" s="117"/>
      <c r="D166" s="45">
        <f t="shared" si="98"/>
        <v>-1459</v>
      </c>
      <c r="E166" s="106"/>
      <c r="F166" s="107"/>
      <c r="G166" s="26">
        <f t="shared" si="99"/>
        <v>-1459</v>
      </c>
      <c r="H166" s="117"/>
      <c r="I166" s="117"/>
      <c r="J166" s="19">
        <f t="shared" si="100"/>
        <v>-1459</v>
      </c>
      <c r="K166" s="106"/>
      <c r="L166" s="107"/>
      <c r="M166" s="26">
        <f t="shared" si="101"/>
        <v>-1459</v>
      </c>
      <c r="N166" s="118"/>
      <c r="O166" s="117"/>
      <c r="P166" s="38">
        <f t="shared" si="102"/>
        <v>-1459</v>
      </c>
      <c r="Q166" s="106"/>
      <c r="R166" s="107"/>
      <c r="S166" s="26">
        <f t="shared" si="103"/>
        <v>-1459</v>
      </c>
      <c r="T166" s="136"/>
      <c r="U166" s="136"/>
      <c r="V166" s="45">
        <f t="shared" si="104"/>
        <v>-1459</v>
      </c>
      <c r="W166" s="143"/>
    </row>
    <row r="167" spans="1:23" ht="15.75" customHeight="1">
      <c r="A167" s="114"/>
      <c r="B167" s="117"/>
      <c r="C167" s="117"/>
      <c r="D167" s="45">
        <f t="shared" si="98"/>
        <v>-1459</v>
      </c>
      <c r="E167" s="106"/>
      <c r="F167" s="107"/>
      <c r="G167" s="26">
        <f t="shared" si="99"/>
        <v>-1459</v>
      </c>
      <c r="H167" s="117"/>
      <c r="I167" s="117"/>
      <c r="J167" s="19">
        <f t="shared" si="100"/>
        <v>-1459</v>
      </c>
      <c r="K167" s="106"/>
      <c r="L167" s="107"/>
      <c r="M167" s="26">
        <f t="shared" si="101"/>
        <v>-1459</v>
      </c>
      <c r="N167" s="118"/>
      <c r="O167" s="117"/>
      <c r="P167" s="38">
        <f t="shared" si="102"/>
        <v>-1459</v>
      </c>
      <c r="Q167" s="106"/>
      <c r="R167" s="107"/>
      <c r="S167" s="26">
        <f t="shared" si="103"/>
        <v>-1459</v>
      </c>
      <c r="T167" s="136"/>
      <c r="U167" s="136"/>
      <c r="V167" s="45">
        <f t="shared" si="104"/>
        <v>-1459</v>
      </c>
      <c r="W167" s="143"/>
    </row>
    <row r="168" spans="1:23" ht="15.75" customHeight="1">
      <c r="A168" s="114"/>
      <c r="B168" s="117"/>
      <c r="C168" s="117"/>
      <c r="D168" s="45">
        <f t="shared" si="98"/>
        <v>-1459</v>
      </c>
      <c r="E168" s="106"/>
      <c r="F168" s="107"/>
      <c r="G168" s="26">
        <f t="shared" si="99"/>
        <v>-1459</v>
      </c>
      <c r="H168" s="133"/>
      <c r="I168" s="117"/>
      <c r="J168" s="19">
        <f t="shared" si="100"/>
        <v>-1459</v>
      </c>
      <c r="K168" s="106"/>
      <c r="L168" s="107"/>
      <c r="M168" s="26">
        <f t="shared" si="101"/>
        <v>-1459</v>
      </c>
      <c r="N168" s="118"/>
      <c r="O168" s="117"/>
      <c r="P168" s="38">
        <f t="shared" si="102"/>
        <v>-1459</v>
      </c>
      <c r="Q168" s="106"/>
      <c r="R168" s="107"/>
      <c r="S168" s="26">
        <f t="shared" si="103"/>
        <v>-1459</v>
      </c>
      <c r="T168" s="136"/>
      <c r="U168" s="136"/>
      <c r="V168" s="45">
        <f t="shared" si="104"/>
        <v>-1459</v>
      </c>
      <c r="W168" s="143"/>
    </row>
    <row r="169" spans="1:23" ht="15.75" customHeight="1">
      <c r="A169" s="114"/>
      <c r="B169" s="117"/>
      <c r="C169" s="117"/>
      <c r="D169" s="45">
        <f t="shared" si="98"/>
        <v>-1459</v>
      </c>
      <c r="E169" s="106"/>
      <c r="F169" s="107"/>
      <c r="G169" s="26">
        <f t="shared" si="99"/>
        <v>-1459</v>
      </c>
      <c r="H169" s="133"/>
      <c r="I169" s="117"/>
      <c r="J169" s="19">
        <f t="shared" si="100"/>
        <v>-1459</v>
      </c>
      <c r="K169" s="106"/>
      <c r="L169" s="107"/>
      <c r="M169" s="26">
        <f t="shared" si="101"/>
        <v>-1459</v>
      </c>
      <c r="N169" s="118"/>
      <c r="O169" s="117"/>
      <c r="P169" s="38">
        <f t="shared" si="102"/>
        <v>-1459</v>
      </c>
      <c r="Q169" s="106"/>
      <c r="R169" s="107"/>
      <c r="S169" s="26">
        <f t="shared" si="103"/>
        <v>-1459</v>
      </c>
      <c r="T169" s="136"/>
      <c r="U169" s="136"/>
      <c r="V169" s="45">
        <f t="shared" si="104"/>
        <v>-1459</v>
      </c>
      <c r="W169" s="143"/>
    </row>
    <row r="170" spans="1:23" ht="15.75" customHeight="1">
      <c r="A170" s="114"/>
      <c r="B170" s="117"/>
      <c r="C170" s="117"/>
      <c r="D170" s="45">
        <f t="shared" si="98"/>
        <v>-1459</v>
      </c>
      <c r="E170" s="106"/>
      <c r="F170" s="107"/>
      <c r="G170" s="26">
        <f t="shared" si="99"/>
        <v>-1459</v>
      </c>
      <c r="H170" s="133"/>
      <c r="I170" s="117"/>
      <c r="J170" s="19">
        <f t="shared" si="100"/>
        <v>-1459</v>
      </c>
      <c r="K170" s="116"/>
      <c r="L170" s="107"/>
      <c r="M170" s="26">
        <f t="shared" si="101"/>
        <v>-1459</v>
      </c>
      <c r="N170" s="133"/>
      <c r="O170" s="117"/>
      <c r="P170" s="38">
        <f t="shared" si="102"/>
        <v>-1459</v>
      </c>
      <c r="Q170" s="106"/>
      <c r="R170" s="107"/>
      <c r="S170" s="26">
        <f t="shared" si="103"/>
        <v>-1459</v>
      </c>
      <c r="T170" s="136"/>
      <c r="U170" s="136"/>
      <c r="V170" s="45">
        <f t="shared" si="104"/>
        <v>-1459</v>
      </c>
      <c r="W170" s="143"/>
    </row>
    <row r="171" spans="1:23" ht="15.75" customHeight="1">
      <c r="A171" s="114"/>
      <c r="B171" s="117"/>
      <c r="C171" s="117"/>
      <c r="D171" s="45">
        <f t="shared" si="98"/>
        <v>-1459</v>
      </c>
      <c r="E171" s="106"/>
      <c r="F171" s="107"/>
      <c r="G171" s="26">
        <f t="shared" si="99"/>
        <v>-1459</v>
      </c>
      <c r="H171" s="133"/>
      <c r="I171" s="117"/>
      <c r="J171" s="19">
        <f t="shared" si="100"/>
        <v>-1459</v>
      </c>
      <c r="K171" s="116"/>
      <c r="L171" s="107"/>
      <c r="M171" s="26">
        <f t="shared" si="101"/>
        <v>-1459</v>
      </c>
      <c r="N171" s="133"/>
      <c r="O171" s="117"/>
      <c r="P171" s="38">
        <f t="shared" si="102"/>
        <v>-1459</v>
      </c>
      <c r="Q171" s="106"/>
      <c r="R171" s="107"/>
      <c r="S171" s="26">
        <f t="shared" si="103"/>
        <v>-1459</v>
      </c>
      <c r="T171" s="136"/>
      <c r="U171" s="136"/>
      <c r="V171" s="45">
        <f t="shared" si="104"/>
        <v>-1459</v>
      </c>
      <c r="W171" s="143"/>
    </row>
    <row r="172" spans="1:23" ht="15.75" customHeight="1">
      <c r="A172" s="114"/>
      <c r="B172" s="117"/>
      <c r="C172" s="117"/>
      <c r="D172" s="45">
        <f t="shared" si="98"/>
        <v>-1459</v>
      </c>
      <c r="E172" s="106"/>
      <c r="F172" s="107"/>
      <c r="G172" s="26">
        <f t="shared" si="99"/>
        <v>-1459</v>
      </c>
      <c r="H172" s="133"/>
      <c r="I172" s="117"/>
      <c r="J172" s="19">
        <f t="shared" si="100"/>
        <v>-1459</v>
      </c>
      <c r="K172" s="116"/>
      <c r="L172" s="107"/>
      <c r="M172" s="26">
        <f t="shared" si="101"/>
        <v>-1459</v>
      </c>
      <c r="N172" s="117"/>
      <c r="O172" s="117"/>
      <c r="P172" s="38">
        <f t="shared" si="102"/>
        <v>-1459</v>
      </c>
      <c r="Q172" s="106"/>
      <c r="R172" s="107"/>
      <c r="S172" s="26">
        <f t="shared" si="103"/>
        <v>-1459</v>
      </c>
      <c r="T172" s="136"/>
      <c r="U172" s="136"/>
      <c r="V172" s="45">
        <f t="shared" si="104"/>
        <v>-1459</v>
      </c>
      <c r="W172" s="143"/>
    </row>
    <row r="173" spans="1:23" ht="15.75" customHeight="1">
      <c r="A173" s="114"/>
      <c r="B173" s="117"/>
      <c r="C173" s="117"/>
      <c r="D173" s="45">
        <f t="shared" si="98"/>
        <v>-1459</v>
      </c>
      <c r="E173" s="122"/>
      <c r="F173" s="123"/>
      <c r="G173" s="26">
        <f t="shared" si="99"/>
        <v>-1459</v>
      </c>
      <c r="H173" s="133"/>
      <c r="I173" s="117"/>
      <c r="J173" s="19">
        <f t="shared" si="100"/>
        <v>-1459</v>
      </c>
      <c r="K173" s="124"/>
      <c r="L173" s="123"/>
      <c r="M173" s="26">
        <f t="shared" si="101"/>
        <v>-1459</v>
      </c>
      <c r="N173" s="117"/>
      <c r="O173" s="117"/>
      <c r="P173" s="38">
        <f t="shared" si="102"/>
        <v>-1459</v>
      </c>
      <c r="Q173" s="106"/>
      <c r="R173" s="107"/>
      <c r="S173" s="26">
        <f t="shared" si="103"/>
        <v>-1459</v>
      </c>
      <c r="T173" s="136"/>
      <c r="U173" s="136"/>
      <c r="V173" s="45">
        <f t="shared" si="104"/>
        <v>-1459</v>
      </c>
      <c r="W173" s="143"/>
    </row>
    <row r="174" spans="1:23" ht="15.75" customHeight="1">
      <c r="A174" s="114"/>
      <c r="B174" s="128"/>
      <c r="C174" s="128"/>
      <c r="D174" s="46">
        <f t="shared" si="98"/>
        <v>-1459</v>
      </c>
      <c r="E174" s="166"/>
      <c r="F174" s="167"/>
      <c r="G174" s="53">
        <f t="shared" si="99"/>
        <v>-1459</v>
      </c>
      <c r="H174" s="174"/>
      <c r="I174" s="175"/>
      <c r="J174" s="55">
        <f t="shared" si="100"/>
        <v>-1459</v>
      </c>
      <c r="K174" s="124"/>
      <c r="L174" s="123"/>
      <c r="M174" s="39">
        <f t="shared" si="101"/>
        <v>-1459</v>
      </c>
      <c r="N174" s="128"/>
      <c r="O174" s="128"/>
      <c r="P174" s="40">
        <f t="shared" si="102"/>
        <v>-1459</v>
      </c>
      <c r="Q174" s="122"/>
      <c r="R174" s="123"/>
      <c r="S174" s="39">
        <f t="shared" si="103"/>
        <v>-1459</v>
      </c>
      <c r="T174" s="141"/>
      <c r="U174" s="141"/>
      <c r="V174" s="46">
        <f t="shared" si="104"/>
        <v>-1459</v>
      </c>
      <c r="W174" s="143"/>
    </row>
    <row r="175" spans="1:23" ht="15.75" customHeight="1">
      <c r="A175" s="87"/>
      <c r="B175" s="77">
        <f ca="1">IFERROR(__xludf.DUMMYFUNCTION("DATE(VALUE(LEFT($B$2,4)),VALUE(MID($B$2,6,2)),VALUE(RIGHT($B$2,2)))
+ (VALUE(REGEXEXTRACT(INDIRECT(""A""&amp;ROW()+1),""\d+""))-1)*7
+ INT((COLUMN()-COLUMN($B175))/3)
"),46852)</f>
        <v>46852</v>
      </c>
      <c r="C175" s="81"/>
      <c r="D175" s="82"/>
      <c r="E175" s="77">
        <f ca="1">IFERROR(__xludf.DUMMYFUNCTION("DATE(VALUE(LEFT($B$2,4)),VALUE(MID($B$2,6,2)),VALUE(RIGHT($B$2,2)))
+ (VALUE(REGEXEXTRACT(INDIRECT(""A""&amp;ROW()+1),""\d+""))-1)*7
+ INT((COLUMN()-COLUMN($B175))/3)
"),46853)</f>
        <v>46853</v>
      </c>
      <c r="F175" s="81"/>
      <c r="G175" s="82"/>
      <c r="H175" s="77">
        <f ca="1">IFERROR(__xludf.DUMMYFUNCTION("DATE(VALUE(LEFT($B$2,4)),VALUE(MID($B$2,6,2)),VALUE(RIGHT($B$2,2)))
+ (VALUE(REGEXEXTRACT(INDIRECT(""A""&amp;ROW()+1),""\d+""))-1)*7
+ INT((COLUMN()-COLUMN($B175))/3)
"),46854)</f>
        <v>46854</v>
      </c>
      <c r="I175" s="81"/>
      <c r="J175" s="82"/>
      <c r="K175" s="77">
        <f ca="1">IFERROR(__xludf.DUMMYFUNCTION("DATE(VALUE(LEFT($B$2,4)),VALUE(MID($B$2,6,2)),VALUE(RIGHT($B$2,2)))
+ (VALUE(REGEXEXTRACT(INDIRECT(""A""&amp;ROW()+1),""\d+""))-1)*7
+ INT((COLUMN()-COLUMN($B175))/3)
"),46855)</f>
        <v>46855</v>
      </c>
      <c r="L175" s="81"/>
      <c r="M175" s="82"/>
      <c r="N175" s="77">
        <f ca="1">IFERROR(__xludf.DUMMYFUNCTION("DATE(VALUE(LEFT($B$2,4)),VALUE(MID($B$2,6,2)),VALUE(RIGHT($B$2,2)))
+ (VALUE(REGEXEXTRACT(INDIRECT(""A""&amp;ROW()+1),""\d+""))-1)*7
+ INT((COLUMN()-COLUMN($B175))/3)
"),46856)</f>
        <v>46856</v>
      </c>
      <c r="O175" s="81"/>
      <c r="P175" s="82"/>
      <c r="Q175" s="77">
        <f ca="1">IFERROR(__xludf.DUMMYFUNCTION("DATE(VALUE(LEFT($B$2,4)),VALUE(MID($B$2,6,2)),VALUE(RIGHT($B$2,2)))
+ (VALUE(REGEXEXTRACT(INDIRECT(""A""&amp;ROW()+1),""\d+""))-1)*7
+ INT((COLUMN()-COLUMN($B175))/3)
"),46857)</f>
        <v>46857</v>
      </c>
      <c r="R175" s="81"/>
      <c r="S175" s="82"/>
      <c r="T175" s="77">
        <f ca="1">IFERROR(__xludf.DUMMYFUNCTION("DATE(VALUE(LEFT($B$2,4)),VALUE(MID($B$2,6,2)),VALUE(RIGHT($B$2,2)))
+ (VALUE(REGEXEXTRACT(INDIRECT(""A""&amp;ROW()+1),""\d+""))-1)*7
+ INT((COLUMN()-COLUMN($B175))/3)
"),46858)</f>
        <v>46858</v>
      </c>
      <c r="U175" s="81"/>
      <c r="V175" s="82"/>
      <c r="W175" s="143"/>
    </row>
    <row r="176" spans="1:23" ht="15.75" customHeight="1">
      <c r="A176" s="51" t="s">
        <v>151</v>
      </c>
      <c r="B176" s="112"/>
      <c r="C176" s="111"/>
      <c r="D176" s="17">
        <f>V174+C176</f>
        <v>-1459</v>
      </c>
      <c r="E176" s="109"/>
      <c r="F176" s="109"/>
      <c r="G176" s="42">
        <f>D186+F176</f>
        <v>-1459</v>
      </c>
      <c r="H176" s="112"/>
      <c r="I176" s="111"/>
      <c r="J176" s="17">
        <f>G186+I176</f>
        <v>-1459</v>
      </c>
      <c r="K176" s="109"/>
      <c r="L176" s="109"/>
      <c r="M176" s="35">
        <f>J186+L176</f>
        <v>-1459</v>
      </c>
      <c r="N176" s="112"/>
      <c r="O176" s="111"/>
      <c r="P176" s="17">
        <f>M186+O176</f>
        <v>-1459</v>
      </c>
      <c r="Q176" s="109"/>
      <c r="R176" s="109"/>
      <c r="S176" s="35">
        <f>P186+R176</f>
        <v>-1459</v>
      </c>
      <c r="T176" s="112"/>
      <c r="U176" s="111"/>
      <c r="V176" s="48">
        <f>S186+U176</f>
        <v>-1459</v>
      </c>
      <c r="W176" s="143"/>
    </row>
    <row r="177" spans="1:23" ht="15.75" customHeight="1">
      <c r="A177" s="114"/>
      <c r="B177" s="106"/>
      <c r="C177" s="107"/>
      <c r="D177" s="26">
        <f t="shared" ref="D177:D186" si="105">D176+C177</f>
        <v>-1459</v>
      </c>
      <c r="E177" s="117"/>
      <c r="F177" s="117"/>
      <c r="G177" s="19">
        <f t="shared" ref="G177:G186" si="106">G176+F177</f>
        <v>-1459</v>
      </c>
      <c r="H177" s="106"/>
      <c r="I177" s="107"/>
      <c r="J177" s="26">
        <f t="shared" ref="J177:J186" si="107">J176+I177</f>
        <v>-1459</v>
      </c>
      <c r="K177" s="117"/>
      <c r="L177" s="117"/>
      <c r="M177" s="38">
        <f t="shared" ref="M177:M186" si="108">M176+L177</f>
        <v>-1459</v>
      </c>
      <c r="N177" s="106"/>
      <c r="O177" s="107"/>
      <c r="P177" s="26">
        <f t="shared" ref="P177:P186" si="109">P176+O177</f>
        <v>-1459</v>
      </c>
      <c r="Q177" s="117"/>
      <c r="R177" s="117"/>
      <c r="S177" s="38">
        <f t="shared" ref="S177:S186" si="110">S176+R177</f>
        <v>-1459</v>
      </c>
      <c r="T177" s="106"/>
      <c r="U177" s="107"/>
      <c r="V177" s="20">
        <f t="shared" ref="V177:V186" si="111">V176+U177</f>
        <v>-1459</v>
      </c>
      <c r="W177" s="143"/>
    </row>
    <row r="178" spans="1:23" ht="15.75" customHeight="1">
      <c r="A178" s="114"/>
      <c r="B178" s="106"/>
      <c r="C178" s="107"/>
      <c r="D178" s="26">
        <f t="shared" si="105"/>
        <v>-1459</v>
      </c>
      <c r="E178" s="117"/>
      <c r="F178" s="117"/>
      <c r="G178" s="19">
        <f t="shared" si="106"/>
        <v>-1459</v>
      </c>
      <c r="H178" s="106"/>
      <c r="I178" s="107"/>
      <c r="J178" s="26">
        <f t="shared" si="107"/>
        <v>-1459</v>
      </c>
      <c r="K178" s="117"/>
      <c r="L178" s="117"/>
      <c r="M178" s="38">
        <f t="shared" si="108"/>
        <v>-1459</v>
      </c>
      <c r="N178" s="106"/>
      <c r="O178" s="107"/>
      <c r="P178" s="26">
        <f t="shared" si="109"/>
        <v>-1459</v>
      </c>
      <c r="Q178" s="117"/>
      <c r="R178" s="117"/>
      <c r="S178" s="38">
        <f t="shared" si="110"/>
        <v>-1459</v>
      </c>
      <c r="T178" s="106"/>
      <c r="U178" s="107"/>
      <c r="V178" s="20">
        <f t="shared" si="111"/>
        <v>-1459</v>
      </c>
      <c r="W178" s="143"/>
    </row>
    <row r="179" spans="1:23" ht="15.75" customHeight="1">
      <c r="A179" s="114"/>
      <c r="B179" s="106"/>
      <c r="C179" s="107"/>
      <c r="D179" s="26">
        <f t="shared" si="105"/>
        <v>-1459</v>
      </c>
      <c r="E179" s="117"/>
      <c r="F179" s="117"/>
      <c r="G179" s="19">
        <f t="shared" si="106"/>
        <v>-1459</v>
      </c>
      <c r="H179" s="106"/>
      <c r="I179" s="107"/>
      <c r="J179" s="26">
        <f t="shared" si="107"/>
        <v>-1459</v>
      </c>
      <c r="K179" s="117"/>
      <c r="L179" s="117"/>
      <c r="M179" s="38">
        <f t="shared" si="108"/>
        <v>-1459</v>
      </c>
      <c r="N179" s="106"/>
      <c r="O179" s="107"/>
      <c r="P179" s="26">
        <f t="shared" si="109"/>
        <v>-1459</v>
      </c>
      <c r="Q179" s="117"/>
      <c r="R179" s="117"/>
      <c r="S179" s="38">
        <f t="shared" si="110"/>
        <v>-1459</v>
      </c>
      <c r="T179" s="106"/>
      <c r="U179" s="107"/>
      <c r="V179" s="20">
        <f t="shared" si="111"/>
        <v>-1459</v>
      </c>
      <c r="W179" s="143"/>
    </row>
    <row r="180" spans="1:23" ht="15.75" customHeight="1">
      <c r="A180" s="114"/>
      <c r="B180" s="106"/>
      <c r="C180" s="107"/>
      <c r="D180" s="26">
        <f t="shared" si="105"/>
        <v>-1459</v>
      </c>
      <c r="E180" s="117"/>
      <c r="F180" s="117"/>
      <c r="G180" s="19">
        <f t="shared" si="106"/>
        <v>-1459</v>
      </c>
      <c r="H180" s="106"/>
      <c r="I180" s="107"/>
      <c r="J180" s="26">
        <f t="shared" si="107"/>
        <v>-1459</v>
      </c>
      <c r="K180" s="117"/>
      <c r="L180" s="117"/>
      <c r="M180" s="38">
        <f t="shared" si="108"/>
        <v>-1459</v>
      </c>
      <c r="N180" s="106"/>
      <c r="O180" s="107"/>
      <c r="P180" s="26">
        <f t="shared" si="109"/>
        <v>-1459</v>
      </c>
      <c r="Q180" s="117"/>
      <c r="R180" s="117"/>
      <c r="S180" s="38">
        <f t="shared" si="110"/>
        <v>-1459</v>
      </c>
      <c r="T180" s="106"/>
      <c r="U180" s="107"/>
      <c r="V180" s="20">
        <f t="shared" si="111"/>
        <v>-1459</v>
      </c>
      <c r="W180" s="143"/>
    </row>
    <row r="181" spans="1:23" ht="15.75" customHeight="1">
      <c r="A181" s="114"/>
      <c r="B181" s="106"/>
      <c r="C181" s="107"/>
      <c r="D181" s="26">
        <f t="shared" si="105"/>
        <v>-1459</v>
      </c>
      <c r="E181" s="117"/>
      <c r="F181" s="117"/>
      <c r="G181" s="19">
        <f t="shared" si="106"/>
        <v>-1459</v>
      </c>
      <c r="H181" s="106"/>
      <c r="I181" s="107"/>
      <c r="J181" s="26">
        <f t="shared" si="107"/>
        <v>-1459</v>
      </c>
      <c r="K181" s="117"/>
      <c r="L181" s="117"/>
      <c r="M181" s="38">
        <f t="shared" si="108"/>
        <v>-1459</v>
      </c>
      <c r="N181" s="106"/>
      <c r="O181" s="107"/>
      <c r="P181" s="26">
        <f t="shared" si="109"/>
        <v>-1459</v>
      </c>
      <c r="Q181" s="117"/>
      <c r="R181" s="117"/>
      <c r="S181" s="38">
        <f t="shared" si="110"/>
        <v>-1459</v>
      </c>
      <c r="T181" s="106"/>
      <c r="U181" s="107"/>
      <c r="V181" s="20">
        <f t="shared" si="111"/>
        <v>-1459</v>
      </c>
      <c r="W181" s="143"/>
    </row>
    <row r="182" spans="1:23" ht="15.75" customHeight="1">
      <c r="A182" s="114"/>
      <c r="B182" s="106"/>
      <c r="C182" s="107"/>
      <c r="D182" s="26">
        <f t="shared" si="105"/>
        <v>-1459</v>
      </c>
      <c r="E182" s="117"/>
      <c r="F182" s="117"/>
      <c r="G182" s="19">
        <f t="shared" si="106"/>
        <v>-1459</v>
      </c>
      <c r="H182" s="106"/>
      <c r="I182" s="107"/>
      <c r="J182" s="26">
        <f t="shared" si="107"/>
        <v>-1459</v>
      </c>
      <c r="K182" s="117"/>
      <c r="L182" s="117"/>
      <c r="M182" s="38">
        <f t="shared" si="108"/>
        <v>-1459</v>
      </c>
      <c r="N182" s="106"/>
      <c r="O182" s="107"/>
      <c r="P182" s="26">
        <f t="shared" si="109"/>
        <v>-1459</v>
      </c>
      <c r="Q182" s="117"/>
      <c r="R182" s="117"/>
      <c r="S182" s="38">
        <f t="shared" si="110"/>
        <v>-1459</v>
      </c>
      <c r="T182" s="106"/>
      <c r="U182" s="107"/>
      <c r="V182" s="20">
        <f t="shared" si="111"/>
        <v>-1459</v>
      </c>
      <c r="W182" s="143"/>
    </row>
    <row r="183" spans="1:23" ht="15.75" customHeight="1">
      <c r="A183" s="114"/>
      <c r="B183" s="106"/>
      <c r="C183" s="107"/>
      <c r="D183" s="26">
        <f t="shared" si="105"/>
        <v>-1459</v>
      </c>
      <c r="E183" s="117"/>
      <c r="F183" s="117"/>
      <c r="G183" s="19">
        <f t="shared" si="106"/>
        <v>-1459</v>
      </c>
      <c r="H183" s="106"/>
      <c r="I183" s="107"/>
      <c r="J183" s="26">
        <f t="shared" si="107"/>
        <v>-1459</v>
      </c>
      <c r="K183" s="117"/>
      <c r="L183" s="117"/>
      <c r="M183" s="38">
        <f t="shared" si="108"/>
        <v>-1459</v>
      </c>
      <c r="N183" s="106"/>
      <c r="O183" s="107"/>
      <c r="P183" s="26">
        <f t="shared" si="109"/>
        <v>-1459</v>
      </c>
      <c r="Q183" s="117"/>
      <c r="R183" s="117"/>
      <c r="S183" s="38">
        <f t="shared" si="110"/>
        <v>-1459</v>
      </c>
      <c r="T183" s="106"/>
      <c r="U183" s="107"/>
      <c r="V183" s="20">
        <f t="shared" si="111"/>
        <v>-1459</v>
      </c>
      <c r="W183" s="143"/>
    </row>
    <row r="184" spans="1:23" ht="15.75" customHeight="1">
      <c r="A184" s="114"/>
      <c r="B184" s="106"/>
      <c r="C184" s="107"/>
      <c r="D184" s="26">
        <f t="shared" si="105"/>
        <v>-1459</v>
      </c>
      <c r="E184" s="117"/>
      <c r="F184" s="117"/>
      <c r="G184" s="19">
        <f t="shared" si="106"/>
        <v>-1459</v>
      </c>
      <c r="H184" s="122"/>
      <c r="I184" s="123"/>
      <c r="J184" s="26">
        <f t="shared" si="107"/>
        <v>-1459</v>
      </c>
      <c r="K184" s="117"/>
      <c r="L184" s="117"/>
      <c r="M184" s="38">
        <f t="shared" si="108"/>
        <v>-1459</v>
      </c>
      <c r="N184" s="122"/>
      <c r="O184" s="123"/>
      <c r="P184" s="26">
        <f t="shared" si="109"/>
        <v>-1459</v>
      </c>
      <c r="Q184" s="117"/>
      <c r="R184" s="117"/>
      <c r="S184" s="38">
        <f t="shared" si="110"/>
        <v>-1459</v>
      </c>
      <c r="T184" s="106"/>
      <c r="U184" s="107"/>
      <c r="V184" s="20">
        <f t="shared" si="111"/>
        <v>-1459</v>
      </c>
      <c r="W184" s="143"/>
    </row>
    <row r="185" spans="1:23" ht="15.75" customHeight="1">
      <c r="A185" s="114"/>
      <c r="B185" s="106"/>
      <c r="C185" s="107"/>
      <c r="D185" s="26">
        <f t="shared" si="105"/>
        <v>-1459</v>
      </c>
      <c r="E185" s="117"/>
      <c r="F185" s="117"/>
      <c r="G185" s="19">
        <f t="shared" si="106"/>
        <v>-1459</v>
      </c>
      <c r="H185" s="122"/>
      <c r="I185" s="123"/>
      <c r="J185" s="26">
        <f t="shared" si="107"/>
        <v>-1459</v>
      </c>
      <c r="K185" s="117"/>
      <c r="L185" s="117"/>
      <c r="M185" s="38">
        <f t="shared" si="108"/>
        <v>-1459</v>
      </c>
      <c r="N185" s="122"/>
      <c r="O185" s="123"/>
      <c r="P185" s="26">
        <f t="shared" si="109"/>
        <v>-1459</v>
      </c>
      <c r="Q185" s="117"/>
      <c r="R185" s="117"/>
      <c r="S185" s="38">
        <f t="shared" si="110"/>
        <v>-1459</v>
      </c>
      <c r="T185" s="122"/>
      <c r="U185" s="124"/>
      <c r="V185" s="20">
        <f t="shared" si="111"/>
        <v>-1459</v>
      </c>
      <c r="W185" s="143"/>
    </row>
    <row r="186" spans="1:23" ht="15.75" customHeight="1">
      <c r="A186" s="114"/>
      <c r="B186" s="122"/>
      <c r="C186" s="123"/>
      <c r="D186" s="39">
        <f t="shared" si="105"/>
        <v>-1459</v>
      </c>
      <c r="E186" s="128"/>
      <c r="F186" s="128"/>
      <c r="G186" s="29">
        <f t="shared" si="106"/>
        <v>-1459</v>
      </c>
      <c r="H186" s="122"/>
      <c r="I186" s="123"/>
      <c r="J186" s="39">
        <f t="shared" si="107"/>
        <v>-1459</v>
      </c>
      <c r="K186" s="128"/>
      <c r="L186" s="128"/>
      <c r="M186" s="40">
        <f t="shared" si="108"/>
        <v>-1459</v>
      </c>
      <c r="N186" s="122"/>
      <c r="O186" s="123"/>
      <c r="P186" s="39">
        <f t="shared" si="109"/>
        <v>-1459</v>
      </c>
      <c r="Q186" s="128"/>
      <c r="R186" s="128"/>
      <c r="S186" s="40">
        <f t="shared" si="110"/>
        <v>-1459</v>
      </c>
      <c r="T186" s="122"/>
      <c r="U186" s="123"/>
      <c r="V186" s="49">
        <f t="shared" si="111"/>
        <v>-1459</v>
      </c>
      <c r="W186" s="143"/>
    </row>
    <row r="187" spans="1:23" ht="15.75" customHeight="1">
      <c r="A187" s="87"/>
      <c r="B187" s="77">
        <f ca="1">IFERROR(__xludf.DUMMYFUNCTION("DATE(VALUE(LEFT($B$2,4)),VALUE(MID($B$2,6,2)),VALUE(RIGHT($B$2,2)))
+ (VALUE(REGEXEXTRACT(INDIRECT(""A""&amp;ROW()+1),""\d+""))-1)*7
+ INT((COLUMN()-COLUMN($B187))/3)
"),46859)</f>
        <v>46859</v>
      </c>
      <c r="C187" s="81"/>
      <c r="D187" s="82"/>
      <c r="E187" s="77">
        <f ca="1">IFERROR(__xludf.DUMMYFUNCTION("DATE(VALUE(LEFT($B$2,4)),VALUE(MID($B$2,6,2)),VALUE(RIGHT($B$2,2)))
+ (VALUE(REGEXEXTRACT(INDIRECT(""A""&amp;ROW()+1),""\d+""))-1)*7
+ INT((COLUMN()-COLUMN($B187))/3)
"),46860)</f>
        <v>46860</v>
      </c>
      <c r="F187" s="81"/>
      <c r="G187" s="82"/>
      <c r="H187" s="77">
        <f ca="1">IFERROR(__xludf.DUMMYFUNCTION("DATE(VALUE(LEFT($B$2,4)),VALUE(MID($B$2,6,2)),VALUE(RIGHT($B$2,2)))
+ (VALUE(REGEXEXTRACT(INDIRECT(""A""&amp;ROW()+1),""\d+""))-1)*7
+ INT((COLUMN()-COLUMN($B187))/3)
"),46861)</f>
        <v>46861</v>
      </c>
      <c r="I187" s="81"/>
      <c r="J187" s="82"/>
      <c r="K187" s="77">
        <f ca="1">IFERROR(__xludf.DUMMYFUNCTION("DATE(VALUE(LEFT($B$2,4)),VALUE(MID($B$2,6,2)),VALUE(RIGHT($B$2,2)))
+ (VALUE(REGEXEXTRACT(INDIRECT(""A""&amp;ROW()+1),""\d+""))-1)*7
+ INT((COLUMN()-COLUMN($B187))/3)
"),46862)</f>
        <v>46862</v>
      </c>
      <c r="L187" s="81"/>
      <c r="M187" s="82"/>
      <c r="N187" s="77">
        <f ca="1">IFERROR(__xludf.DUMMYFUNCTION("DATE(VALUE(LEFT($B$2,4)),VALUE(MID($B$2,6,2)),VALUE(RIGHT($B$2,2)))
+ (VALUE(REGEXEXTRACT(INDIRECT(""A""&amp;ROW()+1),""\d+""))-1)*7
+ INT((COLUMN()-COLUMN($B187))/3)
"),46863)</f>
        <v>46863</v>
      </c>
      <c r="O187" s="81"/>
      <c r="P187" s="82"/>
      <c r="Q187" s="77">
        <f ca="1">IFERROR(__xludf.DUMMYFUNCTION("DATE(VALUE(LEFT($B$2,4)),VALUE(MID($B$2,6,2)),VALUE(RIGHT($B$2,2)))
+ (VALUE(REGEXEXTRACT(INDIRECT(""A""&amp;ROW()+1),""\d+""))-1)*7
+ INT((COLUMN()-COLUMN($B187))/3)
"),46864)</f>
        <v>46864</v>
      </c>
      <c r="R187" s="81"/>
      <c r="S187" s="82"/>
      <c r="T187" s="77">
        <f ca="1">IFERROR(__xludf.DUMMYFUNCTION("DATE(VALUE(LEFT($B$2,4)),VALUE(MID($B$2,6,2)),VALUE(RIGHT($B$2,2)))
+ (VALUE(REGEXEXTRACT(INDIRECT(""A""&amp;ROW()+1),""\d+""))-1)*7
+ INT((COLUMN()-COLUMN($B187))/3)
"),46865)</f>
        <v>46865</v>
      </c>
      <c r="U187" s="81"/>
      <c r="V187" s="82"/>
      <c r="W187" s="52" t="s">
        <v>20</v>
      </c>
    </row>
    <row r="188" spans="1:23" ht="15.75" customHeight="1">
      <c r="A188" s="47" t="s">
        <v>152</v>
      </c>
      <c r="B188" s="113"/>
      <c r="C188" s="109"/>
      <c r="D188" s="42">
        <f>V186+C188</f>
        <v>-1459</v>
      </c>
      <c r="E188" s="112"/>
      <c r="F188" s="111"/>
      <c r="G188" s="36">
        <f>D198+F188</f>
        <v>-1459</v>
      </c>
      <c r="H188" s="132"/>
      <c r="I188" s="109"/>
      <c r="J188" s="42">
        <f>G198+I188</f>
        <v>-1459</v>
      </c>
      <c r="K188" s="112"/>
      <c r="L188" s="111"/>
      <c r="M188" s="18">
        <f>J198+L188</f>
        <v>-1459</v>
      </c>
      <c r="N188" s="113"/>
      <c r="O188" s="109"/>
      <c r="P188" s="35">
        <f>M198+O188</f>
        <v>-1459</v>
      </c>
      <c r="Q188" s="112"/>
      <c r="R188" s="111"/>
      <c r="S188" s="18">
        <f>P198+R188</f>
        <v>-1459</v>
      </c>
      <c r="T188" s="113"/>
      <c r="U188" s="109"/>
      <c r="V188" s="50">
        <f>S198+U188</f>
        <v>-1459</v>
      </c>
      <c r="W188" s="172"/>
    </row>
    <row r="189" spans="1:23" ht="15.75" customHeight="1">
      <c r="A189" s="114"/>
      <c r="B189" s="118"/>
      <c r="C189" s="117"/>
      <c r="D189" s="19">
        <f t="shared" ref="D189:D198" si="112">D188+C189</f>
        <v>-1459</v>
      </c>
      <c r="E189" s="106"/>
      <c r="F189" s="107"/>
      <c r="G189" s="26">
        <f t="shared" ref="G189:G198" si="113">G188+F189</f>
        <v>-1459</v>
      </c>
      <c r="H189" s="133"/>
      <c r="I189" s="117"/>
      <c r="J189" s="19">
        <f t="shared" ref="J189:J198" si="114">J188+I189</f>
        <v>-1459</v>
      </c>
      <c r="K189" s="106"/>
      <c r="L189" s="107"/>
      <c r="M189" s="26">
        <f t="shared" ref="M189:M198" si="115">M188+L189</f>
        <v>-1459</v>
      </c>
      <c r="N189" s="117"/>
      <c r="O189" s="117"/>
      <c r="P189" s="38">
        <f t="shared" ref="P189:P198" si="116">P188+O189</f>
        <v>-1459</v>
      </c>
      <c r="Q189" s="106"/>
      <c r="R189" s="107"/>
      <c r="S189" s="26">
        <f t="shared" ref="S189:S198" si="117">S188+R189</f>
        <v>-1459</v>
      </c>
      <c r="T189" s="136"/>
      <c r="U189" s="136"/>
      <c r="V189" s="45">
        <f t="shared" ref="V189:V198" si="118">V188+U189</f>
        <v>-1459</v>
      </c>
      <c r="W189" s="143"/>
    </row>
    <row r="190" spans="1:23" ht="15.75" customHeight="1">
      <c r="A190" s="114"/>
      <c r="B190" s="118"/>
      <c r="C190" s="117"/>
      <c r="D190" s="19">
        <f t="shared" si="112"/>
        <v>-1459</v>
      </c>
      <c r="E190" s="106"/>
      <c r="F190" s="107"/>
      <c r="G190" s="26">
        <f t="shared" si="113"/>
        <v>-1459</v>
      </c>
      <c r="H190" s="133"/>
      <c r="I190" s="117"/>
      <c r="J190" s="19">
        <f t="shared" si="114"/>
        <v>-1459</v>
      </c>
      <c r="K190" s="106"/>
      <c r="L190" s="107"/>
      <c r="M190" s="26">
        <f t="shared" si="115"/>
        <v>-1459</v>
      </c>
      <c r="N190" s="117"/>
      <c r="O190" s="117"/>
      <c r="P190" s="38">
        <f t="shared" si="116"/>
        <v>-1459</v>
      </c>
      <c r="Q190" s="106"/>
      <c r="R190" s="107"/>
      <c r="S190" s="26">
        <f t="shared" si="117"/>
        <v>-1459</v>
      </c>
      <c r="T190" s="136"/>
      <c r="U190" s="136"/>
      <c r="V190" s="45">
        <f t="shared" si="118"/>
        <v>-1459</v>
      </c>
      <c r="W190" s="143"/>
    </row>
    <row r="191" spans="1:23" ht="15.75" customHeight="1">
      <c r="A191" s="114"/>
      <c r="B191" s="118"/>
      <c r="C191" s="117"/>
      <c r="D191" s="19">
        <f t="shared" si="112"/>
        <v>-1459</v>
      </c>
      <c r="E191" s="106"/>
      <c r="F191" s="107"/>
      <c r="G191" s="26">
        <f t="shared" si="113"/>
        <v>-1459</v>
      </c>
      <c r="H191" s="133"/>
      <c r="I191" s="117"/>
      <c r="J191" s="19">
        <f t="shared" si="114"/>
        <v>-1459</v>
      </c>
      <c r="K191" s="106"/>
      <c r="L191" s="107"/>
      <c r="M191" s="26">
        <f t="shared" si="115"/>
        <v>-1459</v>
      </c>
      <c r="N191" s="117"/>
      <c r="O191" s="117"/>
      <c r="P191" s="38">
        <f t="shared" si="116"/>
        <v>-1459</v>
      </c>
      <c r="Q191" s="106"/>
      <c r="R191" s="107"/>
      <c r="S191" s="26">
        <f t="shared" si="117"/>
        <v>-1459</v>
      </c>
      <c r="T191" s="136"/>
      <c r="U191" s="136"/>
      <c r="V191" s="45">
        <f t="shared" si="118"/>
        <v>-1459</v>
      </c>
      <c r="W191" s="143"/>
    </row>
    <row r="192" spans="1:23" ht="15.75" customHeight="1">
      <c r="A192" s="114"/>
      <c r="B192" s="118"/>
      <c r="C192" s="117"/>
      <c r="D192" s="19">
        <f t="shared" si="112"/>
        <v>-1459</v>
      </c>
      <c r="E192" s="106"/>
      <c r="F192" s="107"/>
      <c r="G192" s="26">
        <f t="shared" si="113"/>
        <v>-1459</v>
      </c>
      <c r="H192" s="133"/>
      <c r="I192" s="117"/>
      <c r="J192" s="19">
        <f t="shared" si="114"/>
        <v>-1459</v>
      </c>
      <c r="K192" s="106"/>
      <c r="L192" s="107"/>
      <c r="M192" s="26">
        <f t="shared" si="115"/>
        <v>-1459</v>
      </c>
      <c r="N192" s="117"/>
      <c r="O192" s="117"/>
      <c r="P192" s="38">
        <f t="shared" si="116"/>
        <v>-1459</v>
      </c>
      <c r="Q192" s="106"/>
      <c r="R192" s="107"/>
      <c r="S192" s="26">
        <f t="shared" si="117"/>
        <v>-1459</v>
      </c>
      <c r="T192" s="136"/>
      <c r="U192" s="136"/>
      <c r="V192" s="45">
        <f t="shared" si="118"/>
        <v>-1459</v>
      </c>
      <c r="W192" s="143"/>
    </row>
    <row r="193" spans="1:23" ht="15.75" customHeight="1">
      <c r="A193" s="114"/>
      <c r="B193" s="118"/>
      <c r="C193" s="117"/>
      <c r="D193" s="19">
        <f t="shared" si="112"/>
        <v>-1459</v>
      </c>
      <c r="E193" s="106"/>
      <c r="F193" s="107"/>
      <c r="G193" s="26">
        <f t="shared" si="113"/>
        <v>-1459</v>
      </c>
      <c r="H193" s="133"/>
      <c r="I193" s="117"/>
      <c r="J193" s="19">
        <f t="shared" si="114"/>
        <v>-1459</v>
      </c>
      <c r="K193" s="106"/>
      <c r="L193" s="107"/>
      <c r="M193" s="26">
        <f t="shared" si="115"/>
        <v>-1459</v>
      </c>
      <c r="N193" s="118"/>
      <c r="O193" s="117"/>
      <c r="P193" s="38">
        <f t="shared" si="116"/>
        <v>-1459</v>
      </c>
      <c r="Q193" s="106"/>
      <c r="R193" s="107"/>
      <c r="S193" s="26">
        <f t="shared" si="117"/>
        <v>-1459</v>
      </c>
      <c r="T193" s="136"/>
      <c r="U193" s="136"/>
      <c r="V193" s="45">
        <f t="shared" si="118"/>
        <v>-1459</v>
      </c>
      <c r="W193" s="143"/>
    </row>
    <row r="194" spans="1:23" ht="15.75" customHeight="1">
      <c r="A194" s="114"/>
      <c r="B194" s="117"/>
      <c r="C194" s="117"/>
      <c r="D194" s="19">
        <f t="shared" si="112"/>
        <v>-1459</v>
      </c>
      <c r="E194" s="106"/>
      <c r="F194" s="107"/>
      <c r="G194" s="26">
        <f t="shared" si="113"/>
        <v>-1459</v>
      </c>
      <c r="H194" s="133"/>
      <c r="I194" s="117"/>
      <c r="J194" s="19">
        <f t="shared" si="114"/>
        <v>-1459</v>
      </c>
      <c r="K194" s="106"/>
      <c r="L194" s="107"/>
      <c r="M194" s="26">
        <f t="shared" si="115"/>
        <v>-1459</v>
      </c>
      <c r="N194" s="117"/>
      <c r="O194" s="117"/>
      <c r="P194" s="38">
        <f t="shared" si="116"/>
        <v>-1459</v>
      </c>
      <c r="Q194" s="106"/>
      <c r="R194" s="107"/>
      <c r="S194" s="26">
        <f t="shared" si="117"/>
        <v>-1459</v>
      </c>
      <c r="T194" s="136"/>
      <c r="U194" s="136"/>
      <c r="V194" s="45">
        <f t="shared" si="118"/>
        <v>-1459</v>
      </c>
      <c r="W194" s="143"/>
    </row>
    <row r="195" spans="1:23" ht="15.75" customHeight="1">
      <c r="A195" s="114"/>
      <c r="B195" s="117"/>
      <c r="C195" s="117"/>
      <c r="D195" s="19">
        <f t="shared" si="112"/>
        <v>-1459</v>
      </c>
      <c r="E195" s="106"/>
      <c r="F195" s="107"/>
      <c r="G195" s="26">
        <f t="shared" si="113"/>
        <v>-1459</v>
      </c>
      <c r="H195" s="133"/>
      <c r="I195" s="117"/>
      <c r="J195" s="19">
        <f t="shared" si="114"/>
        <v>-1459</v>
      </c>
      <c r="K195" s="106"/>
      <c r="L195" s="107"/>
      <c r="M195" s="26">
        <f t="shared" si="115"/>
        <v>-1459</v>
      </c>
      <c r="N195" s="117"/>
      <c r="O195" s="117"/>
      <c r="P195" s="38">
        <f t="shared" si="116"/>
        <v>-1459</v>
      </c>
      <c r="Q195" s="106"/>
      <c r="R195" s="107"/>
      <c r="S195" s="26">
        <f t="shared" si="117"/>
        <v>-1459</v>
      </c>
      <c r="T195" s="136"/>
      <c r="U195" s="136"/>
      <c r="V195" s="45">
        <f t="shared" si="118"/>
        <v>-1459</v>
      </c>
      <c r="W195" s="143"/>
    </row>
    <row r="196" spans="1:23" ht="15.75" customHeight="1">
      <c r="A196" s="114"/>
      <c r="B196" s="117"/>
      <c r="C196" s="117"/>
      <c r="D196" s="19">
        <f t="shared" si="112"/>
        <v>-1459</v>
      </c>
      <c r="E196" s="106"/>
      <c r="F196" s="107"/>
      <c r="G196" s="26">
        <f t="shared" si="113"/>
        <v>-1459</v>
      </c>
      <c r="H196" s="133"/>
      <c r="I196" s="117"/>
      <c r="J196" s="19">
        <f t="shared" si="114"/>
        <v>-1459</v>
      </c>
      <c r="K196" s="106"/>
      <c r="L196" s="107"/>
      <c r="M196" s="26">
        <f t="shared" si="115"/>
        <v>-1459</v>
      </c>
      <c r="N196" s="117"/>
      <c r="O196" s="117"/>
      <c r="P196" s="38">
        <f t="shared" si="116"/>
        <v>-1459</v>
      </c>
      <c r="Q196" s="106"/>
      <c r="R196" s="107"/>
      <c r="S196" s="26">
        <f t="shared" si="117"/>
        <v>-1459</v>
      </c>
      <c r="T196" s="136"/>
      <c r="U196" s="136"/>
      <c r="V196" s="45">
        <f t="shared" si="118"/>
        <v>-1459</v>
      </c>
      <c r="W196" s="143"/>
    </row>
    <row r="197" spans="1:23" ht="15.75" customHeight="1">
      <c r="A197" s="114"/>
      <c r="B197" s="117"/>
      <c r="C197" s="117"/>
      <c r="D197" s="19">
        <f t="shared" si="112"/>
        <v>-1459</v>
      </c>
      <c r="E197" s="122"/>
      <c r="F197" s="123"/>
      <c r="G197" s="26">
        <f t="shared" si="113"/>
        <v>-1459</v>
      </c>
      <c r="H197" s="133"/>
      <c r="I197" s="117"/>
      <c r="J197" s="19">
        <f t="shared" si="114"/>
        <v>-1459</v>
      </c>
      <c r="K197" s="122"/>
      <c r="L197" s="123"/>
      <c r="M197" s="26">
        <f t="shared" si="115"/>
        <v>-1459</v>
      </c>
      <c r="N197" s="117"/>
      <c r="O197" s="117"/>
      <c r="P197" s="38">
        <f t="shared" si="116"/>
        <v>-1459</v>
      </c>
      <c r="Q197" s="122"/>
      <c r="R197" s="123"/>
      <c r="S197" s="26">
        <f t="shared" si="117"/>
        <v>-1459</v>
      </c>
      <c r="T197" s="136"/>
      <c r="U197" s="136"/>
      <c r="V197" s="45">
        <f t="shared" si="118"/>
        <v>-1459</v>
      </c>
      <c r="W197" s="143"/>
    </row>
    <row r="198" spans="1:23" ht="15.75" customHeight="1">
      <c r="A198" s="114"/>
      <c r="B198" s="128"/>
      <c r="C198" s="128"/>
      <c r="D198" s="29">
        <f t="shared" si="112"/>
        <v>-1459</v>
      </c>
      <c r="E198" s="122"/>
      <c r="F198" s="123"/>
      <c r="G198" s="39">
        <f t="shared" si="113"/>
        <v>-1459</v>
      </c>
      <c r="H198" s="140"/>
      <c r="I198" s="128"/>
      <c r="J198" s="29">
        <f t="shared" si="114"/>
        <v>-1459</v>
      </c>
      <c r="K198" s="122"/>
      <c r="L198" s="123"/>
      <c r="M198" s="39">
        <f t="shared" si="115"/>
        <v>-1459</v>
      </c>
      <c r="N198" s="128"/>
      <c r="O198" s="128"/>
      <c r="P198" s="40">
        <f t="shared" si="116"/>
        <v>-1459</v>
      </c>
      <c r="Q198" s="122"/>
      <c r="R198" s="123"/>
      <c r="S198" s="39">
        <f t="shared" si="117"/>
        <v>-1459</v>
      </c>
      <c r="T198" s="141"/>
      <c r="U198" s="141"/>
      <c r="V198" s="46">
        <f t="shared" si="118"/>
        <v>-1459</v>
      </c>
      <c r="W198" s="143"/>
    </row>
    <row r="199" spans="1:23" ht="15.75" customHeight="1">
      <c r="A199" s="87"/>
      <c r="B199" s="77">
        <f ca="1">IFERROR(__xludf.DUMMYFUNCTION("DATE(VALUE(LEFT($B$2,4)),VALUE(MID($B$2,6,2)),VALUE(RIGHT($B$2,2)))
+ (VALUE(REGEXEXTRACT(INDIRECT(""A""&amp;ROW()+1),""\d+""))-1)*7
+ INT((COLUMN()-COLUMN($B199))/3)
"),46866)</f>
        <v>46866</v>
      </c>
      <c r="C199" s="81"/>
      <c r="D199" s="82"/>
      <c r="E199" s="77">
        <f ca="1">IFERROR(__xludf.DUMMYFUNCTION("DATE(VALUE(LEFT($B$2,4)),VALUE(MID($B$2,6,2)),VALUE(RIGHT($B$2,2)))
+ (VALUE(REGEXEXTRACT(INDIRECT(""A""&amp;ROW()+1),""\d+""))-1)*7
+ INT((COLUMN()-COLUMN($B199))/3)
"),46867)</f>
        <v>46867</v>
      </c>
      <c r="F199" s="81"/>
      <c r="G199" s="82"/>
      <c r="H199" s="77">
        <f ca="1">IFERROR(__xludf.DUMMYFUNCTION("DATE(VALUE(LEFT($B$2,4)),VALUE(MID($B$2,6,2)),VALUE(RIGHT($B$2,2)))
+ (VALUE(REGEXEXTRACT(INDIRECT(""A""&amp;ROW()+1),""\d+""))-1)*7
+ INT((COLUMN()-COLUMN($B199))/3)
"),46868)</f>
        <v>46868</v>
      </c>
      <c r="I199" s="81"/>
      <c r="J199" s="82"/>
      <c r="K199" s="77">
        <f ca="1">IFERROR(__xludf.DUMMYFUNCTION("DATE(VALUE(LEFT($B$2,4)),VALUE(MID($B$2,6,2)),VALUE(RIGHT($B$2,2)))
+ (VALUE(REGEXEXTRACT(INDIRECT(""A""&amp;ROW()+1),""\d+""))-1)*7
+ INT((COLUMN()-COLUMN($B199))/3)
"),46869)</f>
        <v>46869</v>
      </c>
      <c r="L199" s="81"/>
      <c r="M199" s="82"/>
      <c r="N199" s="77">
        <f ca="1">IFERROR(__xludf.DUMMYFUNCTION("DATE(VALUE(LEFT($B$2,4)),VALUE(MID($B$2,6,2)),VALUE(RIGHT($B$2,2)))
+ (VALUE(REGEXEXTRACT(INDIRECT(""A""&amp;ROW()+1),""\d+""))-1)*7
+ INT((COLUMN()-COLUMN($B199))/3)
"),46870)</f>
        <v>46870</v>
      </c>
      <c r="O199" s="81"/>
      <c r="P199" s="82"/>
      <c r="Q199" s="77">
        <f ca="1">IFERROR(__xludf.DUMMYFUNCTION("DATE(VALUE(LEFT($B$2,4)),VALUE(MID($B$2,6,2)),VALUE(RIGHT($B$2,2)))
+ (VALUE(REGEXEXTRACT(INDIRECT(""A""&amp;ROW()+1),""\d+""))-1)*7
+ INT((COLUMN()-COLUMN($B199))/3)
"),46871)</f>
        <v>46871</v>
      </c>
      <c r="R199" s="81"/>
      <c r="S199" s="82"/>
      <c r="T199" s="77">
        <f ca="1">IFERROR(__xludf.DUMMYFUNCTION("DATE(VALUE(LEFT($B$2,4)),VALUE(MID($B$2,6,2)),VALUE(RIGHT($B$2,2)))
+ (VALUE(REGEXEXTRACT(INDIRECT(""A""&amp;ROW()+1),""\d+""))-1)*7
+ INT((COLUMN()-COLUMN($B199))/3)
"),46872)</f>
        <v>46872</v>
      </c>
      <c r="U199" s="81"/>
      <c r="V199" s="82"/>
      <c r="W199" s="143"/>
    </row>
    <row r="200" spans="1:23" ht="15.75" customHeight="1">
      <c r="A200" s="51" t="s">
        <v>29</v>
      </c>
      <c r="B200" s="112"/>
      <c r="C200" s="111"/>
      <c r="D200" s="17">
        <f>V198+C200</f>
        <v>-1459</v>
      </c>
      <c r="E200" s="109"/>
      <c r="F200" s="109"/>
      <c r="G200" s="54">
        <f>D210+F200</f>
        <v>-1459</v>
      </c>
      <c r="H200" s="110"/>
      <c r="I200" s="111"/>
      <c r="J200" s="17">
        <f>G210+I200</f>
        <v>-1459</v>
      </c>
      <c r="K200" s="109"/>
      <c r="L200" s="109"/>
      <c r="M200" s="35">
        <f>J210+L200</f>
        <v>-1459</v>
      </c>
      <c r="N200" s="112"/>
      <c r="O200" s="111"/>
      <c r="P200" s="17">
        <f>M210+O200</f>
        <v>-1459</v>
      </c>
      <c r="Q200" s="113"/>
      <c r="R200" s="109"/>
      <c r="S200" s="35">
        <f>P210+R200</f>
        <v>-1459</v>
      </c>
      <c r="T200" s="112"/>
      <c r="U200" s="111"/>
      <c r="V200" s="48">
        <f>S210+U200</f>
        <v>-1459</v>
      </c>
      <c r="W200" s="143"/>
    </row>
    <row r="201" spans="1:23" ht="15.75" customHeight="1">
      <c r="A201" s="114"/>
      <c r="B201" s="106"/>
      <c r="C201" s="107"/>
      <c r="D201" s="26">
        <f t="shared" ref="D201:D210" si="119">D200+C201</f>
        <v>-1459</v>
      </c>
      <c r="E201" s="117"/>
      <c r="F201" s="117"/>
      <c r="G201" s="19">
        <f t="shared" ref="G201:G210" si="120">G200+F201</f>
        <v>-1459</v>
      </c>
      <c r="H201" s="116"/>
      <c r="I201" s="107"/>
      <c r="J201" s="26">
        <f t="shared" ref="J201:J210" si="121">J200+I201</f>
        <v>-1459</v>
      </c>
      <c r="K201" s="117"/>
      <c r="L201" s="117"/>
      <c r="M201" s="38">
        <f t="shared" ref="M201:M210" si="122">M200+L201</f>
        <v>-1459</v>
      </c>
      <c r="N201" s="106"/>
      <c r="O201" s="107"/>
      <c r="P201" s="26">
        <f t="shared" ref="P201:P210" si="123">P200+O201</f>
        <v>-1459</v>
      </c>
      <c r="Q201" s="118"/>
      <c r="R201" s="117"/>
      <c r="S201" s="38">
        <f t="shared" ref="S201:S210" si="124">S200+R201</f>
        <v>-1459</v>
      </c>
      <c r="T201" s="106"/>
      <c r="U201" s="107"/>
      <c r="V201" s="20">
        <f t="shared" ref="V201:V210" si="125">V200+U201</f>
        <v>-1459</v>
      </c>
      <c r="W201" s="143"/>
    </row>
    <row r="202" spans="1:23" ht="15.75" customHeight="1">
      <c r="A202" s="114"/>
      <c r="B202" s="106"/>
      <c r="C202" s="107"/>
      <c r="D202" s="26">
        <f t="shared" si="119"/>
        <v>-1459</v>
      </c>
      <c r="E202" s="117"/>
      <c r="F202" s="117"/>
      <c r="G202" s="19">
        <f t="shared" si="120"/>
        <v>-1459</v>
      </c>
      <c r="H202" s="106"/>
      <c r="I202" s="107"/>
      <c r="J202" s="26">
        <f t="shared" si="121"/>
        <v>-1459</v>
      </c>
      <c r="K202" s="117"/>
      <c r="L202" s="117"/>
      <c r="M202" s="38">
        <f t="shared" si="122"/>
        <v>-1459</v>
      </c>
      <c r="N202" s="106"/>
      <c r="O202" s="107"/>
      <c r="P202" s="26">
        <f t="shared" si="123"/>
        <v>-1459</v>
      </c>
      <c r="Q202" s="118"/>
      <c r="R202" s="117"/>
      <c r="S202" s="38">
        <f t="shared" si="124"/>
        <v>-1459</v>
      </c>
      <c r="T202" s="106"/>
      <c r="U202" s="107"/>
      <c r="V202" s="20">
        <f t="shared" si="125"/>
        <v>-1459</v>
      </c>
      <c r="W202" s="143"/>
    </row>
    <row r="203" spans="1:23" ht="15.75" customHeight="1">
      <c r="A203" s="114"/>
      <c r="B203" s="106"/>
      <c r="C203" s="107"/>
      <c r="D203" s="26">
        <f t="shared" si="119"/>
        <v>-1459</v>
      </c>
      <c r="E203" s="117"/>
      <c r="F203" s="117"/>
      <c r="G203" s="19">
        <f t="shared" si="120"/>
        <v>-1459</v>
      </c>
      <c r="H203" s="106"/>
      <c r="I203" s="107"/>
      <c r="J203" s="26">
        <f t="shared" si="121"/>
        <v>-1459</v>
      </c>
      <c r="K203" s="117"/>
      <c r="L203" s="117"/>
      <c r="M203" s="38">
        <f t="shared" si="122"/>
        <v>-1459</v>
      </c>
      <c r="N203" s="106"/>
      <c r="O203" s="107"/>
      <c r="P203" s="26">
        <f t="shared" si="123"/>
        <v>-1459</v>
      </c>
      <c r="Q203" s="118"/>
      <c r="R203" s="117"/>
      <c r="S203" s="38">
        <f t="shared" si="124"/>
        <v>-1459</v>
      </c>
      <c r="T203" s="106"/>
      <c r="U203" s="107"/>
      <c r="V203" s="20">
        <f t="shared" si="125"/>
        <v>-1459</v>
      </c>
      <c r="W203" s="143"/>
    </row>
    <row r="204" spans="1:23" ht="15.75" customHeight="1">
      <c r="A204" s="114"/>
      <c r="B204" s="106"/>
      <c r="C204" s="107"/>
      <c r="D204" s="26">
        <f t="shared" si="119"/>
        <v>-1459</v>
      </c>
      <c r="E204" s="117"/>
      <c r="F204" s="117"/>
      <c r="G204" s="19">
        <f t="shared" si="120"/>
        <v>-1459</v>
      </c>
      <c r="H204" s="106"/>
      <c r="I204" s="107"/>
      <c r="J204" s="26">
        <f t="shared" si="121"/>
        <v>-1459</v>
      </c>
      <c r="K204" s="117"/>
      <c r="L204" s="117"/>
      <c r="M204" s="38">
        <f t="shared" si="122"/>
        <v>-1459</v>
      </c>
      <c r="N204" s="106"/>
      <c r="O204" s="107"/>
      <c r="P204" s="26">
        <f t="shared" si="123"/>
        <v>-1459</v>
      </c>
      <c r="Q204" s="118"/>
      <c r="R204" s="117"/>
      <c r="S204" s="38">
        <f t="shared" si="124"/>
        <v>-1459</v>
      </c>
      <c r="T204" s="106"/>
      <c r="U204" s="107"/>
      <c r="V204" s="20">
        <f t="shared" si="125"/>
        <v>-1459</v>
      </c>
      <c r="W204" s="143"/>
    </row>
    <row r="205" spans="1:23" ht="15.75" customHeight="1">
      <c r="A205" s="114"/>
      <c r="B205" s="106"/>
      <c r="C205" s="107"/>
      <c r="D205" s="26">
        <f t="shared" si="119"/>
        <v>-1459</v>
      </c>
      <c r="E205" s="117"/>
      <c r="F205" s="117"/>
      <c r="G205" s="19">
        <f t="shared" si="120"/>
        <v>-1459</v>
      </c>
      <c r="H205" s="106"/>
      <c r="I205" s="107"/>
      <c r="J205" s="26">
        <f t="shared" si="121"/>
        <v>-1459</v>
      </c>
      <c r="K205" s="117"/>
      <c r="L205" s="117"/>
      <c r="M205" s="38">
        <f t="shared" si="122"/>
        <v>-1459</v>
      </c>
      <c r="N205" s="106"/>
      <c r="O205" s="107"/>
      <c r="P205" s="26">
        <f t="shared" si="123"/>
        <v>-1459</v>
      </c>
      <c r="Q205" s="118"/>
      <c r="R205" s="117"/>
      <c r="S205" s="38">
        <f t="shared" si="124"/>
        <v>-1459</v>
      </c>
      <c r="T205" s="106"/>
      <c r="U205" s="116"/>
      <c r="V205" s="20">
        <f t="shared" si="125"/>
        <v>-1459</v>
      </c>
      <c r="W205" s="143"/>
    </row>
    <row r="206" spans="1:23" ht="15.75" customHeight="1">
      <c r="A206" s="114"/>
      <c r="B206" s="106"/>
      <c r="C206" s="107"/>
      <c r="D206" s="26">
        <f t="shared" si="119"/>
        <v>-1459</v>
      </c>
      <c r="E206" s="117"/>
      <c r="F206" s="117"/>
      <c r="G206" s="19">
        <f t="shared" si="120"/>
        <v>-1459</v>
      </c>
      <c r="H206" s="106"/>
      <c r="I206" s="107"/>
      <c r="J206" s="26">
        <f t="shared" si="121"/>
        <v>-1459</v>
      </c>
      <c r="K206" s="117"/>
      <c r="L206" s="117"/>
      <c r="M206" s="38">
        <f t="shared" si="122"/>
        <v>-1459</v>
      </c>
      <c r="N206" s="106"/>
      <c r="O206" s="107"/>
      <c r="P206" s="26">
        <f t="shared" si="123"/>
        <v>-1459</v>
      </c>
      <c r="Q206" s="117"/>
      <c r="R206" s="117"/>
      <c r="S206" s="38">
        <f t="shared" si="124"/>
        <v>-1459</v>
      </c>
      <c r="T206" s="106"/>
      <c r="U206" s="116"/>
      <c r="V206" s="20">
        <f t="shared" si="125"/>
        <v>-1459</v>
      </c>
      <c r="W206" s="143"/>
    </row>
    <row r="207" spans="1:23" ht="15.75" customHeight="1">
      <c r="A207" s="114"/>
      <c r="B207" s="106"/>
      <c r="C207" s="107"/>
      <c r="D207" s="26">
        <f t="shared" si="119"/>
        <v>-1459</v>
      </c>
      <c r="E207" s="117"/>
      <c r="F207" s="117"/>
      <c r="G207" s="19">
        <f t="shared" si="120"/>
        <v>-1459</v>
      </c>
      <c r="H207" s="106"/>
      <c r="I207" s="107"/>
      <c r="J207" s="26">
        <f t="shared" si="121"/>
        <v>-1459</v>
      </c>
      <c r="K207" s="117"/>
      <c r="L207" s="117"/>
      <c r="M207" s="38">
        <f t="shared" si="122"/>
        <v>-1459</v>
      </c>
      <c r="N207" s="106"/>
      <c r="O207" s="107"/>
      <c r="P207" s="26">
        <f t="shared" si="123"/>
        <v>-1459</v>
      </c>
      <c r="Q207" s="118"/>
      <c r="R207" s="117"/>
      <c r="S207" s="38">
        <f t="shared" si="124"/>
        <v>-1459</v>
      </c>
      <c r="T207" s="106"/>
      <c r="U207" s="116"/>
      <c r="V207" s="20">
        <f t="shared" si="125"/>
        <v>-1459</v>
      </c>
      <c r="W207" s="143"/>
    </row>
    <row r="208" spans="1:23" ht="15.75" customHeight="1">
      <c r="A208" s="114"/>
      <c r="B208" s="122"/>
      <c r="C208" s="123"/>
      <c r="D208" s="26">
        <f t="shared" si="119"/>
        <v>-1459</v>
      </c>
      <c r="E208" s="117"/>
      <c r="F208" s="117"/>
      <c r="G208" s="19">
        <f t="shared" si="120"/>
        <v>-1459</v>
      </c>
      <c r="H208" s="122"/>
      <c r="I208" s="123"/>
      <c r="J208" s="26">
        <f t="shared" si="121"/>
        <v>-1459</v>
      </c>
      <c r="K208" s="117"/>
      <c r="L208" s="117"/>
      <c r="M208" s="38">
        <f t="shared" si="122"/>
        <v>-1459</v>
      </c>
      <c r="N208" s="106"/>
      <c r="O208" s="107"/>
      <c r="P208" s="26">
        <f t="shared" si="123"/>
        <v>-1459</v>
      </c>
      <c r="Q208" s="118"/>
      <c r="R208" s="117"/>
      <c r="S208" s="38">
        <f t="shared" si="124"/>
        <v>-1459</v>
      </c>
      <c r="T208" s="106"/>
      <c r="U208" s="116"/>
      <c r="V208" s="20">
        <f t="shared" si="125"/>
        <v>-1459</v>
      </c>
      <c r="W208" s="143"/>
    </row>
    <row r="209" spans="1:23" ht="15.75" customHeight="1">
      <c r="A209" s="114"/>
      <c r="B209" s="122"/>
      <c r="C209" s="123"/>
      <c r="D209" s="26">
        <f t="shared" si="119"/>
        <v>-1459</v>
      </c>
      <c r="E209" s="117"/>
      <c r="F209" s="117"/>
      <c r="G209" s="19">
        <f t="shared" si="120"/>
        <v>-1459</v>
      </c>
      <c r="H209" s="122"/>
      <c r="I209" s="123"/>
      <c r="J209" s="26">
        <f t="shared" si="121"/>
        <v>-1459</v>
      </c>
      <c r="K209" s="117"/>
      <c r="L209" s="117"/>
      <c r="M209" s="38">
        <f t="shared" si="122"/>
        <v>-1459</v>
      </c>
      <c r="N209" s="122"/>
      <c r="O209" s="123"/>
      <c r="P209" s="26">
        <f t="shared" si="123"/>
        <v>-1459</v>
      </c>
      <c r="Q209" s="117"/>
      <c r="R209" s="117"/>
      <c r="S209" s="38">
        <f t="shared" si="124"/>
        <v>-1459</v>
      </c>
      <c r="T209" s="122"/>
      <c r="U209" s="124"/>
      <c r="V209" s="20">
        <f t="shared" si="125"/>
        <v>-1459</v>
      </c>
      <c r="W209" s="143"/>
    </row>
    <row r="210" spans="1:23" ht="15.75" customHeight="1">
      <c r="A210" s="114"/>
      <c r="B210" s="122"/>
      <c r="C210" s="123"/>
      <c r="D210" s="39">
        <f t="shared" si="119"/>
        <v>-1459</v>
      </c>
      <c r="E210" s="128"/>
      <c r="F210" s="128"/>
      <c r="G210" s="29">
        <f t="shared" si="120"/>
        <v>-1459</v>
      </c>
      <c r="H210" s="122"/>
      <c r="I210" s="123"/>
      <c r="J210" s="39">
        <f t="shared" si="121"/>
        <v>-1459</v>
      </c>
      <c r="K210" s="128"/>
      <c r="L210" s="128"/>
      <c r="M210" s="40">
        <f t="shared" si="122"/>
        <v>-1459</v>
      </c>
      <c r="N210" s="122"/>
      <c r="O210" s="123"/>
      <c r="P210" s="39">
        <f t="shared" si="123"/>
        <v>-1459</v>
      </c>
      <c r="Q210" s="128"/>
      <c r="R210" s="128"/>
      <c r="S210" s="40">
        <f t="shared" si="124"/>
        <v>-1459</v>
      </c>
      <c r="T210" s="122"/>
      <c r="U210" s="123"/>
      <c r="V210" s="49">
        <f t="shared" si="125"/>
        <v>-1459</v>
      </c>
      <c r="W210" s="143"/>
    </row>
    <row r="211" spans="1:23" ht="15.75" customHeight="1">
      <c r="A211" s="87"/>
      <c r="B211" s="77">
        <f ca="1">IFERROR(__xludf.DUMMYFUNCTION("DATE(VALUE(LEFT($B$2,4)),VALUE(MID($B$2,6,2)),VALUE(RIGHT($B$2,2)))
+ (VALUE(REGEXEXTRACT(INDIRECT(""A""&amp;ROW()+1),""\d+""))-1)*7
+ INT((COLUMN()-COLUMN($B211))/3)
"),46873)</f>
        <v>46873</v>
      </c>
      <c r="C211" s="81"/>
      <c r="D211" s="82"/>
      <c r="E211" s="77">
        <f ca="1">IFERROR(__xludf.DUMMYFUNCTION("DATE(VALUE(LEFT($B$2,4)),VALUE(MID($B$2,6,2)),VALUE(RIGHT($B$2,2)))
+ (VALUE(REGEXEXTRACT(INDIRECT(""A""&amp;ROW()+1),""\d+""))-1)*7
+ INT((COLUMN()-COLUMN($B211))/3)
"),46874)</f>
        <v>46874</v>
      </c>
      <c r="F211" s="81"/>
      <c r="G211" s="82"/>
      <c r="H211" s="77">
        <f ca="1">IFERROR(__xludf.DUMMYFUNCTION("DATE(VALUE(LEFT($B$2,4)),VALUE(MID($B$2,6,2)),VALUE(RIGHT($B$2,2)))
+ (VALUE(REGEXEXTRACT(INDIRECT(""A""&amp;ROW()+1),""\d+""))-1)*7
+ INT((COLUMN()-COLUMN($B211))/3)
"),46875)</f>
        <v>46875</v>
      </c>
      <c r="I211" s="81"/>
      <c r="J211" s="82"/>
      <c r="K211" s="77">
        <f ca="1">IFERROR(__xludf.DUMMYFUNCTION("DATE(VALUE(LEFT($B$2,4)),VALUE(MID($B$2,6,2)),VALUE(RIGHT($B$2,2)))
+ (VALUE(REGEXEXTRACT(INDIRECT(""A""&amp;ROW()+1),""\d+""))-1)*7
+ INT((COLUMN()-COLUMN($B211))/3)
"),46876)</f>
        <v>46876</v>
      </c>
      <c r="L211" s="81"/>
      <c r="M211" s="82"/>
      <c r="N211" s="77">
        <f ca="1">IFERROR(__xludf.DUMMYFUNCTION("DATE(VALUE(LEFT($B$2,4)),VALUE(MID($B$2,6,2)),VALUE(RIGHT($B$2,2)))
+ (VALUE(REGEXEXTRACT(INDIRECT(""A""&amp;ROW()+1),""\d+""))-1)*7
+ INT((COLUMN()-COLUMN($B211))/3)
"),46877)</f>
        <v>46877</v>
      </c>
      <c r="O211" s="81"/>
      <c r="P211" s="82"/>
      <c r="Q211" s="77">
        <f ca="1">IFERROR(__xludf.DUMMYFUNCTION("DATE(VALUE(LEFT($B$2,4)),VALUE(MID($B$2,6,2)),VALUE(RIGHT($B$2,2)))
+ (VALUE(REGEXEXTRACT(INDIRECT(""A""&amp;ROW()+1),""\d+""))-1)*7
+ INT((COLUMN()-COLUMN($B211))/3)
"),46878)</f>
        <v>46878</v>
      </c>
      <c r="R211" s="81"/>
      <c r="S211" s="82"/>
      <c r="T211" s="77">
        <f ca="1">IFERROR(__xludf.DUMMYFUNCTION("DATE(VALUE(LEFT($B$2,4)),VALUE(MID($B$2,6,2)),VALUE(RIGHT($B$2,2)))
+ (VALUE(REGEXEXTRACT(INDIRECT(""A""&amp;ROW()+1),""\d+""))-1)*7
+ INT((COLUMN()-COLUMN($B211))/3)
"),46879)</f>
        <v>46879</v>
      </c>
      <c r="U211" s="81"/>
      <c r="V211" s="82"/>
      <c r="W211" s="52" t="s">
        <v>20</v>
      </c>
    </row>
    <row r="212" spans="1:23" ht="15.75" customHeight="1">
      <c r="A212" s="47" t="s">
        <v>51</v>
      </c>
      <c r="B212" s="109"/>
      <c r="C212" s="109"/>
      <c r="D212" s="42">
        <f>V210+C212</f>
        <v>-1459</v>
      </c>
      <c r="E212" s="112"/>
      <c r="F212" s="111"/>
      <c r="G212" s="36">
        <f>D222+F212</f>
        <v>-1459</v>
      </c>
      <c r="H212" s="132"/>
      <c r="I212" s="109"/>
      <c r="J212" s="42">
        <f>G222+I212</f>
        <v>-1459</v>
      </c>
      <c r="K212" s="112"/>
      <c r="L212" s="111"/>
      <c r="M212" s="18">
        <f>J222+L212</f>
        <v>-1459</v>
      </c>
      <c r="N212" s="113"/>
      <c r="O212" s="109"/>
      <c r="P212" s="35">
        <f>M222+O212</f>
        <v>-1459</v>
      </c>
      <c r="Q212" s="112"/>
      <c r="R212" s="111"/>
      <c r="S212" s="18">
        <f>P222+R212</f>
        <v>-1459</v>
      </c>
      <c r="T212" s="113"/>
      <c r="U212" s="109"/>
      <c r="V212" s="50">
        <f>S222+U212</f>
        <v>-1459</v>
      </c>
      <c r="W212" s="172"/>
    </row>
    <row r="213" spans="1:23" ht="15.75" customHeight="1">
      <c r="A213" s="114"/>
      <c r="B213" s="117"/>
      <c r="C213" s="117"/>
      <c r="D213" s="19">
        <f t="shared" ref="D213:D222" si="126">D212+C213</f>
        <v>-1459</v>
      </c>
      <c r="E213" s="106"/>
      <c r="F213" s="107"/>
      <c r="G213" s="26">
        <f t="shared" ref="G213:G222" si="127">G212+F213</f>
        <v>-1459</v>
      </c>
      <c r="H213" s="133"/>
      <c r="I213" s="117"/>
      <c r="J213" s="19">
        <f t="shared" ref="J213:J222" si="128">J212+I213</f>
        <v>-1459</v>
      </c>
      <c r="K213" s="106"/>
      <c r="L213" s="107"/>
      <c r="M213" s="26">
        <f t="shared" ref="M213:M222" si="129">M212+L213</f>
        <v>-1459</v>
      </c>
      <c r="N213" s="117"/>
      <c r="O213" s="117"/>
      <c r="P213" s="38">
        <f t="shared" ref="P213:P222" si="130">P212+O213</f>
        <v>-1459</v>
      </c>
      <c r="Q213" s="106"/>
      <c r="R213" s="107"/>
      <c r="S213" s="26">
        <f t="shared" ref="S213:S222" si="131">S212+R213</f>
        <v>-1459</v>
      </c>
      <c r="T213" s="136"/>
      <c r="U213" s="136"/>
      <c r="V213" s="45">
        <f t="shared" ref="V213:V222" si="132">V212+U213</f>
        <v>-1459</v>
      </c>
      <c r="W213" s="143"/>
    </row>
    <row r="214" spans="1:23" ht="15.75" customHeight="1">
      <c r="A214" s="114"/>
      <c r="B214" s="117"/>
      <c r="C214" s="117"/>
      <c r="D214" s="19">
        <f t="shared" si="126"/>
        <v>-1459</v>
      </c>
      <c r="E214" s="106"/>
      <c r="F214" s="107"/>
      <c r="G214" s="26">
        <f t="shared" si="127"/>
        <v>-1459</v>
      </c>
      <c r="H214" s="133"/>
      <c r="I214" s="117"/>
      <c r="J214" s="19">
        <f t="shared" si="128"/>
        <v>-1459</v>
      </c>
      <c r="K214" s="106"/>
      <c r="L214" s="107"/>
      <c r="M214" s="26">
        <f t="shared" si="129"/>
        <v>-1459</v>
      </c>
      <c r="N214" s="117"/>
      <c r="O214" s="117"/>
      <c r="P214" s="38">
        <f t="shared" si="130"/>
        <v>-1459</v>
      </c>
      <c r="Q214" s="106"/>
      <c r="R214" s="107"/>
      <c r="S214" s="26">
        <f t="shared" si="131"/>
        <v>-1459</v>
      </c>
      <c r="T214" s="136"/>
      <c r="U214" s="136"/>
      <c r="V214" s="45">
        <f t="shared" si="132"/>
        <v>-1459</v>
      </c>
      <c r="W214" s="143"/>
    </row>
    <row r="215" spans="1:23" ht="15.75" customHeight="1">
      <c r="A215" s="114"/>
      <c r="B215" s="117"/>
      <c r="C215" s="117"/>
      <c r="D215" s="19">
        <f t="shared" si="126"/>
        <v>-1459</v>
      </c>
      <c r="E215" s="106"/>
      <c r="F215" s="107"/>
      <c r="G215" s="26">
        <f t="shared" si="127"/>
        <v>-1459</v>
      </c>
      <c r="H215" s="133"/>
      <c r="I215" s="117"/>
      <c r="J215" s="19">
        <f t="shared" si="128"/>
        <v>-1459</v>
      </c>
      <c r="K215" s="106"/>
      <c r="L215" s="107"/>
      <c r="M215" s="26">
        <f t="shared" si="129"/>
        <v>-1459</v>
      </c>
      <c r="N215" s="117"/>
      <c r="O215" s="117"/>
      <c r="P215" s="38">
        <f t="shared" si="130"/>
        <v>-1459</v>
      </c>
      <c r="Q215" s="106"/>
      <c r="R215" s="107"/>
      <c r="S215" s="26">
        <f t="shared" si="131"/>
        <v>-1459</v>
      </c>
      <c r="T215" s="136"/>
      <c r="U215" s="136"/>
      <c r="V215" s="45">
        <f t="shared" si="132"/>
        <v>-1459</v>
      </c>
      <c r="W215" s="143"/>
    </row>
    <row r="216" spans="1:23" ht="15.75" customHeight="1">
      <c r="A216" s="114"/>
      <c r="B216" s="117"/>
      <c r="C216" s="117"/>
      <c r="D216" s="19">
        <f t="shared" si="126"/>
        <v>-1459</v>
      </c>
      <c r="E216" s="106"/>
      <c r="F216" s="107"/>
      <c r="G216" s="26">
        <f t="shared" si="127"/>
        <v>-1459</v>
      </c>
      <c r="H216" s="133"/>
      <c r="I216" s="117"/>
      <c r="J216" s="19">
        <f t="shared" si="128"/>
        <v>-1459</v>
      </c>
      <c r="K216" s="106"/>
      <c r="L216" s="107"/>
      <c r="M216" s="26">
        <f t="shared" si="129"/>
        <v>-1459</v>
      </c>
      <c r="N216" s="117"/>
      <c r="O216" s="117"/>
      <c r="P216" s="38">
        <f t="shared" si="130"/>
        <v>-1459</v>
      </c>
      <c r="Q216" s="106"/>
      <c r="R216" s="107"/>
      <c r="S216" s="26">
        <f t="shared" si="131"/>
        <v>-1459</v>
      </c>
      <c r="T216" s="136"/>
      <c r="U216" s="136"/>
      <c r="V216" s="45">
        <f t="shared" si="132"/>
        <v>-1459</v>
      </c>
      <c r="W216" s="143"/>
    </row>
    <row r="217" spans="1:23" ht="15.75" customHeight="1">
      <c r="A217" s="114"/>
      <c r="B217" s="117"/>
      <c r="C217" s="117"/>
      <c r="D217" s="19">
        <f t="shared" si="126"/>
        <v>-1459</v>
      </c>
      <c r="E217" s="106"/>
      <c r="F217" s="107"/>
      <c r="G217" s="26">
        <f t="shared" si="127"/>
        <v>-1459</v>
      </c>
      <c r="H217" s="133"/>
      <c r="I217" s="117"/>
      <c r="J217" s="19">
        <f t="shared" si="128"/>
        <v>-1459</v>
      </c>
      <c r="K217" s="106"/>
      <c r="L217" s="107"/>
      <c r="M217" s="26">
        <f t="shared" si="129"/>
        <v>-1459</v>
      </c>
      <c r="N217" s="117"/>
      <c r="O217" s="117"/>
      <c r="P217" s="38">
        <f t="shared" si="130"/>
        <v>-1459</v>
      </c>
      <c r="Q217" s="106"/>
      <c r="R217" s="107"/>
      <c r="S217" s="26">
        <f t="shared" si="131"/>
        <v>-1459</v>
      </c>
      <c r="T217" s="136"/>
      <c r="U217" s="136"/>
      <c r="V217" s="45">
        <f t="shared" si="132"/>
        <v>-1459</v>
      </c>
      <c r="W217" s="143"/>
    </row>
    <row r="218" spans="1:23" ht="15.75" customHeight="1">
      <c r="A218" s="114"/>
      <c r="B218" s="117"/>
      <c r="C218" s="117"/>
      <c r="D218" s="19">
        <f t="shared" si="126"/>
        <v>-1459</v>
      </c>
      <c r="E218" s="106"/>
      <c r="F218" s="107"/>
      <c r="G218" s="26">
        <f t="shared" si="127"/>
        <v>-1459</v>
      </c>
      <c r="H218" s="133"/>
      <c r="I218" s="117"/>
      <c r="J218" s="19">
        <f t="shared" si="128"/>
        <v>-1459</v>
      </c>
      <c r="K218" s="106"/>
      <c r="L218" s="107"/>
      <c r="M218" s="26">
        <f t="shared" si="129"/>
        <v>-1459</v>
      </c>
      <c r="N218" s="118"/>
      <c r="O218" s="117"/>
      <c r="P218" s="38">
        <f t="shared" si="130"/>
        <v>-1459</v>
      </c>
      <c r="Q218" s="106"/>
      <c r="R218" s="107"/>
      <c r="S218" s="26">
        <f t="shared" si="131"/>
        <v>-1459</v>
      </c>
      <c r="T218" s="136"/>
      <c r="U218" s="136"/>
      <c r="V218" s="45">
        <f t="shared" si="132"/>
        <v>-1459</v>
      </c>
      <c r="W218" s="143"/>
    </row>
    <row r="219" spans="1:23" ht="15.75" customHeight="1">
      <c r="A219" s="114"/>
      <c r="B219" s="117"/>
      <c r="C219" s="117"/>
      <c r="D219" s="19">
        <f t="shared" si="126"/>
        <v>-1459</v>
      </c>
      <c r="E219" s="106"/>
      <c r="F219" s="107"/>
      <c r="G219" s="26">
        <f t="shared" si="127"/>
        <v>-1459</v>
      </c>
      <c r="H219" s="133"/>
      <c r="I219" s="117"/>
      <c r="J219" s="19">
        <f t="shared" si="128"/>
        <v>-1459</v>
      </c>
      <c r="K219" s="106"/>
      <c r="L219" s="107"/>
      <c r="M219" s="26">
        <f t="shared" si="129"/>
        <v>-1459</v>
      </c>
      <c r="N219" s="117"/>
      <c r="O219" s="117"/>
      <c r="P219" s="38">
        <f t="shared" si="130"/>
        <v>-1459</v>
      </c>
      <c r="Q219" s="106"/>
      <c r="R219" s="107"/>
      <c r="S219" s="26">
        <f t="shared" si="131"/>
        <v>-1459</v>
      </c>
      <c r="T219" s="136"/>
      <c r="U219" s="136"/>
      <c r="V219" s="45">
        <f t="shared" si="132"/>
        <v>-1459</v>
      </c>
      <c r="W219" s="143"/>
    </row>
    <row r="220" spans="1:23" ht="15.75" customHeight="1">
      <c r="A220" s="114"/>
      <c r="B220" s="117"/>
      <c r="C220" s="117"/>
      <c r="D220" s="19">
        <f t="shared" si="126"/>
        <v>-1459</v>
      </c>
      <c r="E220" s="106"/>
      <c r="F220" s="107"/>
      <c r="G220" s="26">
        <f t="shared" si="127"/>
        <v>-1459</v>
      </c>
      <c r="H220" s="133"/>
      <c r="I220" s="117"/>
      <c r="J220" s="19">
        <f t="shared" si="128"/>
        <v>-1459</v>
      </c>
      <c r="K220" s="106"/>
      <c r="L220" s="107"/>
      <c r="M220" s="26">
        <f t="shared" si="129"/>
        <v>-1459</v>
      </c>
      <c r="N220" s="117"/>
      <c r="O220" s="117"/>
      <c r="P220" s="38">
        <f t="shared" si="130"/>
        <v>-1459</v>
      </c>
      <c r="Q220" s="106"/>
      <c r="R220" s="107"/>
      <c r="S220" s="26">
        <f t="shared" si="131"/>
        <v>-1459</v>
      </c>
      <c r="T220" s="136"/>
      <c r="U220" s="136"/>
      <c r="V220" s="45">
        <f t="shared" si="132"/>
        <v>-1459</v>
      </c>
      <c r="W220" s="143"/>
    </row>
    <row r="221" spans="1:23" ht="15.75" customHeight="1">
      <c r="A221" s="114"/>
      <c r="B221" s="118"/>
      <c r="C221" s="117"/>
      <c r="D221" s="19">
        <f t="shared" si="126"/>
        <v>-1459</v>
      </c>
      <c r="E221" s="122"/>
      <c r="F221" s="123"/>
      <c r="G221" s="26">
        <f t="shared" si="127"/>
        <v>-1459</v>
      </c>
      <c r="H221" s="133"/>
      <c r="I221" s="117"/>
      <c r="J221" s="19">
        <f t="shared" si="128"/>
        <v>-1459</v>
      </c>
      <c r="K221" s="122"/>
      <c r="L221" s="123"/>
      <c r="M221" s="26">
        <f t="shared" si="129"/>
        <v>-1459</v>
      </c>
      <c r="N221" s="117"/>
      <c r="O221" s="117"/>
      <c r="P221" s="38">
        <f t="shared" si="130"/>
        <v>-1459</v>
      </c>
      <c r="Q221" s="122"/>
      <c r="R221" s="123"/>
      <c r="S221" s="26">
        <f t="shared" si="131"/>
        <v>-1459</v>
      </c>
      <c r="T221" s="136"/>
      <c r="U221" s="136"/>
      <c r="V221" s="45">
        <f t="shared" si="132"/>
        <v>-1459</v>
      </c>
      <c r="W221" s="143"/>
    </row>
    <row r="222" spans="1:23" ht="15.75" customHeight="1">
      <c r="A222" s="114"/>
      <c r="B222" s="128"/>
      <c r="C222" s="128"/>
      <c r="D222" s="29">
        <f t="shared" si="126"/>
        <v>-1459</v>
      </c>
      <c r="E222" s="122"/>
      <c r="F222" s="123"/>
      <c r="G222" s="53">
        <f t="shared" si="127"/>
        <v>-1459</v>
      </c>
      <c r="H222" s="140"/>
      <c r="I222" s="128"/>
      <c r="J222" s="29">
        <f t="shared" si="128"/>
        <v>-1459</v>
      </c>
      <c r="K222" s="122"/>
      <c r="L222" s="123"/>
      <c r="M222" s="39">
        <f t="shared" si="129"/>
        <v>-1459</v>
      </c>
      <c r="N222" s="128"/>
      <c r="O222" s="128"/>
      <c r="P222" s="40">
        <f t="shared" si="130"/>
        <v>-1459</v>
      </c>
      <c r="Q222" s="122"/>
      <c r="R222" s="123"/>
      <c r="S222" s="39">
        <f t="shared" si="131"/>
        <v>-1459</v>
      </c>
      <c r="T222" s="141"/>
      <c r="U222" s="141"/>
      <c r="V222" s="46">
        <f t="shared" si="132"/>
        <v>-1459</v>
      </c>
      <c r="W222" s="143"/>
    </row>
    <row r="223" spans="1:23" ht="15.75" customHeight="1">
      <c r="A223" s="87"/>
      <c r="B223" s="77">
        <f ca="1">IFERROR(__xludf.DUMMYFUNCTION("DATE(VALUE(LEFT($B$2,4)),VALUE(MID($B$2,6,2)),VALUE(RIGHT($B$2,2)))
+ (VALUE(REGEXEXTRACT(INDIRECT(""A""&amp;ROW()+1),""\d+""))-1)*7
+ INT((COLUMN()-COLUMN($B223))/3)
"),46880)</f>
        <v>46880</v>
      </c>
      <c r="C223" s="81"/>
      <c r="D223" s="82"/>
      <c r="E223" s="77">
        <f ca="1">IFERROR(__xludf.DUMMYFUNCTION("DATE(VALUE(LEFT($B$2,4)),VALUE(MID($B$2,6,2)),VALUE(RIGHT($B$2,2)))
+ (VALUE(REGEXEXTRACT(INDIRECT(""A""&amp;ROW()+1),""\d+""))-1)*7
+ INT((COLUMN()-COLUMN($B223))/3)
"),46881)</f>
        <v>46881</v>
      </c>
      <c r="F223" s="81"/>
      <c r="G223" s="82"/>
      <c r="H223" s="77">
        <f ca="1">IFERROR(__xludf.DUMMYFUNCTION("DATE(VALUE(LEFT($B$2,4)),VALUE(MID($B$2,6,2)),VALUE(RIGHT($B$2,2)))
+ (VALUE(REGEXEXTRACT(INDIRECT(""A""&amp;ROW()+1),""\d+""))-1)*7
+ INT((COLUMN()-COLUMN($B223))/3)
"),46882)</f>
        <v>46882</v>
      </c>
      <c r="I223" s="81"/>
      <c r="J223" s="82"/>
      <c r="K223" s="77">
        <f ca="1">IFERROR(__xludf.DUMMYFUNCTION("DATE(VALUE(LEFT($B$2,4)),VALUE(MID($B$2,6,2)),VALUE(RIGHT($B$2,2)))
+ (VALUE(REGEXEXTRACT(INDIRECT(""A""&amp;ROW()+1),""\d+""))-1)*7
+ INT((COLUMN()-COLUMN($B223))/3)
"),46883)</f>
        <v>46883</v>
      </c>
      <c r="L223" s="81"/>
      <c r="M223" s="82"/>
      <c r="N223" s="77">
        <f ca="1">IFERROR(__xludf.DUMMYFUNCTION("DATE(VALUE(LEFT($B$2,4)),VALUE(MID($B$2,6,2)),VALUE(RIGHT($B$2,2)))
+ (VALUE(REGEXEXTRACT(INDIRECT(""A""&amp;ROW()+1),""\d+""))-1)*7
+ INT((COLUMN()-COLUMN($B223))/3)
"),46884)</f>
        <v>46884</v>
      </c>
      <c r="O223" s="81"/>
      <c r="P223" s="82"/>
      <c r="Q223" s="77">
        <f ca="1">IFERROR(__xludf.DUMMYFUNCTION("DATE(VALUE(LEFT($B$2,4)),VALUE(MID($B$2,6,2)),VALUE(RIGHT($B$2,2)))
+ (VALUE(REGEXEXTRACT(INDIRECT(""A""&amp;ROW()+1),""\d+""))-1)*7
+ INT((COLUMN()-COLUMN($B223))/3)
"),46885)</f>
        <v>46885</v>
      </c>
      <c r="R223" s="81"/>
      <c r="S223" s="82"/>
      <c r="T223" s="77">
        <f ca="1">IFERROR(__xludf.DUMMYFUNCTION("DATE(VALUE(LEFT($B$2,4)),VALUE(MID($B$2,6,2)),VALUE(RIGHT($B$2,2)))
+ (VALUE(REGEXEXTRACT(INDIRECT(""A""&amp;ROW()+1),""\d+""))-1)*7
+ INT((COLUMN()-COLUMN($B223))/3)
"),46886)</f>
        <v>46886</v>
      </c>
      <c r="U223" s="81"/>
      <c r="V223" s="82"/>
      <c r="W223" s="143"/>
    </row>
    <row r="224" spans="1:23" ht="15.75" customHeight="1">
      <c r="A224" s="51" t="s">
        <v>72</v>
      </c>
      <c r="B224" s="112"/>
      <c r="C224" s="111"/>
      <c r="D224" s="17">
        <f>V222+C224</f>
        <v>-1459</v>
      </c>
      <c r="E224" s="109"/>
      <c r="F224" s="109"/>
      <c r="G224" s="54">
        <f>D234+F224</f>
        <v>-1459</v>
      </c>
      <c r="H224" s="110"/>
      <c r="I224" s="111"/>
      <c r="J224" s="17">
        <f>G234+I224</f>
        <v>-1459</v>
      </c>
      <c r="K224" s="109"/>
      <c r="L224" s="109"/>
      <c r="M224" s="35">
        <f>J234+L224</f>
        <v>-1459</v>
      </c>
      <c r="N224" s="112"/>
      <c r="O224" s="111"/>
      <c r="P224" s="17">
        <f>M234+O224</f>
        <v>-1459</v>
      </c>
      <c r="Q224" s="109"/>
      <c r="R224" s="109"/>
      <c r="S224" s="35">
        <f>P234+R224</f>
        <v>-1459</v>
      </c>
      <c r="T224" s="112"/>
      <c r="U224" s="111"/>
      <c r="V224" s="48">
        <f>S234+U224</f>
        <v>-1459</v>
      </c>
      <c r="W224" s="143"/>
    </row>
    <row r="225" spans="1:23" ht="15.75" customHeight="1">
      <c r="A225" s="114"/>
      <c r="B225" s="106"/>
      <c r="C225" s="107"/>
      <c r="D225" s="26">
        <f t="shared" ref="D225:D234" si="133">D224+C225</f>
        <v>-1459</v>
      </c>
      <c r="E225" s="117"/>
      <c r="F225" s="117"/>
      <c r="G225" s="19">
        <f t="shared" ref="G225:G234" si="134">G224+F225</f>
        <v>-1459</v>
      </c>
      <c r="H225" s="116"/>
      <c r="I225" s="107"/>
      <c r="J225" s="26">
        <f t="shared" ref="J225:J234" si="135">J224+I225</f>
        <v>-1459</v>
      </c>
      <c r="K225" s="117"/>
      <c r="L225" s="117"/>
      <c r="M225" s="38">
        <f t="shared" ref="M225:M234" si="136">M224+L225</f>
        <v>-1459</v>
      </c>
      <c r="N225" s="106"/>
      <c r="O225" s="107"/>
      <c r="P225" s="26">
        <f t="shared" ref="P225:P234" si="137">P224+O225</f>
        <v>-1459</v>
      </c>
      <c r="Q225" s="117"/>
      <c r="R225" s="117"/>
      <c r="S225" s="38">
        <f t="shared" ref="S225:S234" si="138">S224+R225</f>
        <v>-1459</v>
      </c>
      <c r="T225" s="106"/>
      <c r="U225" s="107"/>
      <c r="V225" s="20">
        <f t="shared" ref="V225:V234" si="139">V224+U225</f>
        <v>-1459</v>
      </c>
      <c r="W225" s="143"/>
    </row>
    <row r="226" spans="1:23" ht="15.75" customHeight="1">
      <c r="A226" s="114"/>
      <c r="B226" s="106"/>
      <c r="C226" s="107"/>
      <c r="D226" s="26">
        <f t="shared" si="133"/>
        <v>-1459</v>
      </c>
      <c r="E226" s="117"/>
      <c r="F226" s="117"/>
      <c r="G226" s="19">
        <f t="shared" si="134"/>
        <v>-1459</v>
      </c>
      <c r="H226" s="116"/>
      <c r="I226" s="107"/>
      <c r="J226" s="26">
        <f t="shared" si="135"/>
        <v>-1459</v>
      </c>
      <c r="K226" s="117"/>
      <c r="L226" s="117"/>
      <c r="M226" s="38">
        <f t="shared" si="136"/>
        <v>-1459</v>
      </c>
      <c r="N226" s="106"/>
      <c r="O226" s="107"/>
      <c r="P226" s="26">
        <f t="shared" si="137"/>
        <v>-1459</v>
      </c>
      <c r="Q226" s="117"/>
      <c r="R226" s="117"/>
      <c r="S226" s="38">
        <f t="shared" si="138"/>
        <v>-1459</v>
      </c>
      <c r="T226" s="106"/>
      <c r="U226" s="116"/>
      <c r="V226" s="20">
        <f t="shared" si="139"/>
        <v>-1459</v>
      </c>
      <c r="W226" s="143"/>
    </row>
    <row r="227" spans="1:23" ht="15.75" customHeight="1">
      <c r="A227" s="114"/>
      <c r="B227" s="106"/>
      <c r="C227" s="107"/>
      <c r="D227" s="26">
        <f t="shared" si="133"/>
        <v>-1459</v>
      </c>
      <c r="E227" s="117"/>
      <c r="F227" s="117"/>
      <c r="G227" s="19">
        <f t="shared" si="134"/>
        <v>-1459</v>
      </c>
      <c r="H227" s="116"/>
      <c r="I227" s="107"/>
      <c r="J227" s="26">
        <f t="shared" si="135"/>
        <v>-1459</v>
      </c>
      <c r="K227" s="117"/>
      <c r="L227" s="117"/>
      <c r="M227" s="38">
        <f t="shared" si="136"/>
        <v>-1459</v>
      </c>
      <c r="N227" s="106"/>
      <c r="O227" s="107"/>
      <c r="P227" s="26">
        <f t="shared" si="137"/>
        <v>-1459</v>
      </c>
      <c r="Q227" s="117"/>
      <c r="R227" s="117"/>
      <c r="S227" s="38">
        <f t="shared" si="138"/>
        <v>-1459</v>
      </c>
      <c r="T227" s="106"/>
      <c r="U227" s="116"/>
      <c r="V227" s="20">
        <f t="shared" si="139"/>
        <v>-1459</v>
      </c>
      <c r="W227" s="143"/>
    </row>
    <row r="228" spans="1:23" ht="15.75" customHeight="1">
      <c r="A228" s="114"/>
      <c r="B228" s="106"/>
      <c r="C228" s="107"/>
      <c r="D228" s="26">
        <f t="shared" si="133"/>
        <v>-1459</v>
      </c>
      <c r="E228" s="117"/>
      <c r="F228" s="117"/>
      <c r="G228" s="19">
        <f t="shared" si="134"/>
        <v>-1459</v>
      </c>
      <c r="H228" s="116"/>
      <c r="I228" s="107"/>
      <c r="J228" s="26">
        <f t="shared" si="135"/>
        <v>-1459</v>
      </c>
      <c r="K228" s="117"/>
      <c r="L228" s="117"/>
      <c r="M228" s="38">
        <f t="shared" si="136"/>
        <v>-1459</v>
      </c>
      <c r="N228" s="106"/>
      <c r="O228" s="107"/>
      <c r="P228" s="26">
        <f t="shared" si="137"/>
        <v>-1459</v>
      </c>
      <c r="Q228" s="133"/>
      <c r="R228" s="117"/>
      <c r="S228" s="38">
        <f t="shared" si="138"/>
        <v>-1459</v>
      </c>
      <c r="T228" s="106"/>
      <c r="U228" s="116"/>
      <c r="V228" s="20">
        <f t="shared" si="139"/>
        <v>-1459</v>
      </c>
      <c r="W228" s="143"/>
    </row>
    <row r="229" spans="1:23" ht="15.75" customHeight="1">
      <c r="A229" s="114"/>
      <c r="B229" s="106"/>
      <c r="C229" s="107"/>
      <c r="D229" s="26">
        <f t="shared" si="133"/>
        <v>-1459</v>
      </c>
      <c r="E229" s="117"/>
      <c r="F229" s="117"/>
      <c r="G229" s="19">
        <f t="shared" si="134"/>
        <v>-1459</v>
      </c>
      <c r="H229" s="116"/>
      <c r="I229" s="107"/>
      <c r="J229" s="26">
        <f t="shared" si="135"/>
        <v>-1459</v>
      </c>
      <c r="K229" s="117"/>
      <c r="L229" s="117"/>
      <c r="M229" s="38">
        <f t="shared" si="136"/>
        <v>-1459</v>
      </c>
      <c r="N229" s="106"/>
      <c r="O229" s="107"/>
      <c r="P229" s="26">
        <f t="shared" si="137"/>
        <v>-1459</v>
      </c>
      <c r="Q229" s="117"/>
      <c r="R229" s="117"/>
      <c r="S229" s="38">
        <f t="shared" si="138"/>
        <v>-1459</v>
      </c>
      <c r="T229" s="106"/>
      <c r="U229" s="116"/>
      <c r="V229" s="20">
        <f t="shared" si="139"/>
        <v>-1459</v>
      </c>
      <c r="W229" s="143"/>
    </row>
    <row r="230" spans="1:23" ht="15.75" customHeight="1">
      <c r="A230" s="114"/>
      <c r="B230" s="106"/>
      <c r="C230" s="107"/>
      <c r="D230" s="26">
        <f t="shared" si="133"/>
        <v>-1459</v>
      </c>
      <c r="E230" s="117"/>
      <c r="F230" s="117"/>
      <c r="G230" s="19">
        <f t="shared" si="134"/>
        <v>-1459</v>
      </c>
      <c r="H230" s="116"/>
      <c r="I230" s="107"/>
      <c r="J230" s="26">
        <f t="shared" si="135"/>
        <v>-1459</v>
      </c>
      <c r="K230" s="117"/>
      <c r="L230" s="117"/>
      <c r="M230" s="38">
        <f t="shared" si="136"/>
        <v>-1459</v>
      </c>
      <c r="N230" s="106"/>
      <c r="O230" s="107"/>
      <c r="P230" s="26">
        <f t="shared" si="137"/>
        <v>-1459</v>
      </c>
      <c r="Q230" s="117"/>
      <c r="R230" s="117"/>
      <c r="S230" s="38">
        <f t="shared" si="138"/>
        <v>-1459</v>
      </c>
      <c r="T230" s="106"/>
      <c r="U230" s="116"/>
      <c r="V230" s="20">
        <f t="shared" si="139"/>
        <v>-1459</v>
      </c>
      <c r="W230" s="143"/>
    </row>
    <row r="231" spans="1:23" ht="15.75" customHeight="1">
      <c r="A231" s="114"/>
      <c r="B231" s="106"/>
      <c r="C231" s="107"/>
      <c r="D231" s="26">
        <f t="shared" si="133"/>
        <v>-1459</v>
      </c>
      <c r="E231" s="117"/>
      <c r="F231" s="117"/>
      <c r="G231" s="19">
        <f t="shared" si="134"/>
        <v>-1459</v>
      </c>
      <c r="H231" s="116"/>
      <c r="I231" s="107"/>
      <c r="J231" s="26">
        <f t="shared" si="135"/>
        <v>-1459</v>
      </c>
      <c r="K231" s="117"/>
      <c r="L231" s="117"/>
      <c r="M231" s="38">
        <f t="shared" si="136"/>
        <v>-1459</v>
      </c>
      <c r="N231" s="106"/>
      <c r="O231" s="107"/>
      <c r="P231" s="26">
        <f t="shared" si="137"/>
        <v>-1459</v>
      </c>
      <c r="Q231" s="117"/>
      <c r="R231" s="117"/>
      <c r="S231" s="38">
        <f t="shared" si="138"/>
        <v>-1459</v>
      </c>
      <c r="T231" s="106"/>
      <c r="U231" s="116"/>
      <c r="V231" s="20">
        <f t="shared" si="139"/>
        <v>-1459</v>
      </c>
      <c r="W231" s="143"/>
    </row>
    <row r="232" spans="1:23" ht="15.75" customHeight="1">
      <c r="A232" s="114"/>
      <c r="B232" s="122"/>
      <c r="C232" s="123"/>
      <c r="D232" s="26">
        <f t="shared" si="133"/>
        <v>-1459</v>
      </c>
      <c r="E232" s="117"/>
      <c r="F232" s="117"/>
      <c r="G232" s="19">
        <f t="shared" si="134"/>
        <v>-1459</v>
      </c>
      <c r="H232" s="124"/>
      <c r="I232" s="123"/>
      <c r="J232" s="26">
        <f t="shared" si="135"/>
        <v>-1459</v>
      </c>
      <c r="K232" s="117"/>
      <c r="L232" s="117"/>
      <c r="M232" s="38">
        <f t="shared" si="136"/>
        <v>-1459</v>
      </c>
      <c r="N232" s="122"/>
      <c r="O232" s="123"/>
      <c r="P232" s="26">
        <f t="shared" si="137"/>
        <v>-1459</v>
      </c>
      <c r="Q232" s="117"/>
      <c r="R232" s="117"/>
      <c r="S232" s="38">
        <f t="shared" si="138"/>
        <v>-1459</v>
      </c>
      <c r="T232" s="106"/>
      <c r="U232" s="116"/>
      <c r="V232" s="20">
        <f t="shared" si="139"/>
        <v>-1459</v>
      </c>
      <c r="W232" s="143"/>
    </row>
    <row r="233" spans="1:23" ht="15.75" customHeight="1">
      <c r="A233" s="114"/>
      <c r="B233" s="122"/>
      <c r="C233" s="123"/>
      <c r="D233" s="26">
        <f t="shared" si="133"/>
        <v>-1459</v>
      </c>
      <c r="E233" s="117"/>
      <c r="F233" s="117"/>
      <c r="G233" s="19">
        <f t="shared" si="134"/>
        <v>-1459</v>
      </c>
      <c r="H233" s="124"/>
      <c r="I233" s="123"/>
      <c r="J233" s="26">
        <f t="shared" si="135"/>
        <v>-1459</v>
      </c>
      <c r="K233" s="117"/>
      <c r="L233" s="117"/>
      <c r="M233" s="38">
        <f t="shared" si="136"/>
        <v>-1459</v>
      </c>
      <c r="N233" s="122"/>
      <c r="O233" s="123"/>
      <c r="P233" s="26">
        <f t="shared" si="137"/>
        <v>-1459</v>
      </c>
      <c r="Q233" s="117"/>
      <c r="R233" s="117"/>
      <c r="S233" s="38">
        <f t="shared" si="138"/>
        <v>-1459</v>
      </c>
      <c r="T233" s="122"/>
      <c r="U233" s="124"/>
      <c r="V233" s="20">
        <f t="shared" si="139"/>
        <v>-1459</v>
      </c>
      <c r="W233" s="143"/>
    </row>
    <row r="234" spans="1:23" ht="15.75" customHeight="1">
      <c r="A234" s="114"/>
      <c r="B234" s="122"/>
      <c r="C234" s="123"/>
      <c r="D234" s="39">
        <f t="shared" si="133"/>
        <v>-1459</v>
      </c>
      <c r="E234" s="128"/>
      <c r="F234" s="128"/>
      <c r="G234" s="55">
        <f t="shared" si="134"/>
        <v>-1459</v>
      </c>
      <c r="H234" s="124"/>
      <c r="I234" s="123"/>
      <c r="J234" s="39">
        <f t="shared" si="135"/>
        <v>-1459</v>
      </c>
      <c r="K234" s="128"/>
      <c r="L234" s="128"/>
      <c r="M234" s="40">
        <f t="shared" si="136"/>
        <v>-1459</v>
      </c>
      <c r="N234" s="122"/>
      <c r="O234" s="123"/>
      <c r="P234" s="39">
        <f t="shared" si="137"/>
        <v>-1459</v>
      </c>
      <c r="Q234" s="128"/>
      <c r="R234" s="128"/>
      <c r="S234" s="40">
        <f t="shared" si="138"/>
        <v>-1459</v>
      </c>
      <c r="T234" s="122"/>
      <c r="U234" s="123"/>
      <c r="V234" s="49">
        <f t="shared" si="139"/>
        <v>-1459</v>
      </c>
      <c r="W234" s="143"/>
    </row>
    <row r="235" spans="1:23" ht="15.75" customHeight="1">
      <c r="A235" s="87"/>
      <c r="B235" s="77">
        <f ca="1">IFERROR(__xludf.DUMMYFUNCTION("DATE(VALUE(LEFT($B$2,4)),VALUE(MID($B$2,6,2)),VALUE(RIGHT($B$2,2)))
+ (VALUE(REGEXEXTRACT(INDIRECT(""A""&amp;ROW()+1),""\d+""))-1)*7
+ INT((COLUMN()-COLUMN($B235))/3)
"),46887)</f>
        <v>46887</v>
      </c>
      <c r="C235" s="81"/>
      <c r="D235" s="82"/>
      <c r="E235" s="77">
        <f ca="1">IFERROR(__xludf.DUMMYFUNCTION("DATE(VALUE(LEFT($B$2,4)),VALUE(MID($B$2,6,2)),VALUE(RIGHT($B$2,2)))
+ (VALUE(REGEXEXTRACT(INDIRECT(""A""&amp;ROW()+1),""\d+""))-1)*7
+ INT((COLUMN()-COLUMN($B235))/3)
"),46888)</f>
        <v>46888</v>
      </c>
      <c r="F235" s="81"/>
      <c r="G235" s="82"/>
      <c r="H235" s="77">
        <f ca="1">IFERROR(__xludf.DUMMYFUNCTION("DATE(VALUE(LEFT($B$2,4)),VALUE(MID($B$2,6,2)),VALUE(RIGHT($B$2,2)))
+ (VALUE(REGEXEXTRACT(INDIRECT(""A""&amp;ROW()+1),""\d+""))-1)*7
+ INT((COLUMN()-COLUMN($B235))/3)
"),46889)</f>
        <v>46889</v>
      </c>
      <c r="I235" s="81"/>
      <c r="J235" s="82"/>
      <c r="K235" s="77">
        <f ca="1">IFERROR(__xludf.DUMMYFUNCTION("DATE(VALUE(LEFT($B$2,4)),VALUE(MID($B$2,6,2)),VALUE(RIGHT($B$2,2)))
+ (VALUE(REGEXEXTRACT(INDIRECT(""A""&amp;ROW()+1),""\d+""))-1)*7
+ INT((COLUMN()-COLUMN($B235))/3)
"),46890)</f>
        <v>46890</v>
      </c>
      <c r="L235" s="81"/>
      <c r="M235" s="82"/>
      <c r="N235" s="77">
        <f ca="1">IFERROR(__xludf.DUMMYFUNCTION("DATE(VALUE(LEFT($B$2,4)),VALUE(MID($B$2,6,2)),VALUE(RIGHT($B$2,2)))
+ (VALUE(REGEXEXTRACT(INDIRECT(""A""&amp;ROW()+1),""\d+""))-1)*7
+ INT((COLUMN()-COLUMN($B235))/3)
"),46891)</f>
        <v>46891</v>
      </c>
      <c r="O235" s="81"/>
      <c r="P235" s="82"/>
      <c r="Q235" s="77">
        <f ca="1">IFERROR(__xludf.DUMMYFUNCTION("DATE(VALUE(LEFT($B$2,4)),VALUE(MID($B$2,6,2)),VALUE(RIGHT($B$2,2)))
+ (VALUE(REGEXEXTRACT(INDIRECT(""A""&amp;ROW()+1),""\d+""))-1)*7
+ INT((COLUMN()-COLUMN($B235))/3)
"),46892)</f>
        <v>46892</v>
      </c>
      <c r="R235" s="81"/>
      <c r="S235" s="82"/>
      <c r="T235" s="77">
        <f ca="1">IFERROR(__xludf.DUMMYFUNCTION("DATE(VALUE(LEFT($B$2,4)),VALUE(MID($B$2,6,2)),VALUE(RIGHT($B$2,2)))
+ (VALUE(REGEXEXTRACT(INDIRECT(""A""&amp;ROW()+1),""\d+""))-1)*7
+ INT((COLUMN()-COLUMN($B235))/3)
"),46893)</f>
        <v>46893</v>
      </c>
      <c r="U235" s="81"/>
      <c r="V235" s="82"/>
      <c r="W235" s="52" t="s">
        <v>20</v>
      </c>
    </row>
    <row r="236" spans="1:23" ht="15.75" customHeight="1">
      <c r="A236" s="47" t="s">
        <v>89</v>
      </c>
      <c r="B236" s="109"/>
      <c r="C236" s="109"/>
      <c r="D236" s="42">
        <f>V234+C236</f>
        <v>-1459</v>
      </c>
      <c r="E236" s="112"/>
      <c r="F236" s="111"/>
      <c r="G236" s="36">
        <f>D246+F236</f>
        <v>-1459</v>
      </c>
      <c r="H236" s="132"/>
      <c r="I236" s="109"/>
      <c r="J236" s="42">
        <f>G246+I236</f>
        <v>-1459</v>
      </c>
      <c r="K236" s="112"/>
      <c r="L236" s="111"/>
      <c r="M236" s="18">
        <f>J246+L236</f>
        <v>-1459</v>
      </c>
      <c r="N236" s="113"/>
      <c r="O236" s="109"/>
      <c r="P236" s="35">
        <f>M246+O236</f>
        <v>-1459</v>
      </c>
      <c r="Q236" s="112"/>
      <c r="R236" s="111"/>
      <c r="S236" s="18">
        <f>P246+R236</f>
        <v>-1459</v>
      </c>
      <c r="T236" s="113"/>
      <c r="U236" s="109"/>
      <c r="V236" s="50">
        <f>S246+U236</f>
        <v>-1459</v>
      </c>
      <c r="W236" s="172"/>
    </row>
    <row r="237" spans="1:23" ht="15.75" customHeight="1">
      <c r="A237" s="114"/>
      <c r="B237" s="117"/>
      <c r="C237" s="117"/>
      <c r="D237" s="19">
        <f t="shared" ref="D237:D246" si="140">D236+C237</f>
        <v>-1459</v>
      </c>
      <c r="E237" s="106"/>
      <c r="F237" s="107"/>
      <c r="G237" s="26">
        <f t="shared" ref="G237:G246" si="141">G236+F237</f>
        <v>-1459</v>
      </c>
      <c r="H237" s="133"/>
      <c r="I237" s="117"/>
      <c r="J237" s="19">
        <f t="shared" ref="J237:J246" si="142">J236+I237</f>
        <v>-1459</v>
      </c>
      <c r="K237" s="106"/>
      <c r="L237" s="107"/>
      <c r="M237" s="26">
        <f t="shared" ref="M237:M246" si="143">M236+L237</f>
        <v>-1459</v>
      </c>
      <c r="N237" s="118"/>
      <c r="O237" s="117"/>
      <c r="P237" s="38">
        <f t="shared" ref="P237:P246" si="144">P236+O237</f>
        <v>-1459</v>
      </c>
      <c r="Q237" s="106"/>
      <c r="R237" s="107"/>
      <c r="S237" s="26">
        <f t="shared" ref="S237:S246" si="145">S236+R237</f>
        <v>-1459</v>
      </c>
      <c r="T237" s="136"/>
      <c r="U237" s="136"/>
      <c r="V237" s="45">
        <f t="shared" ref="V237:V246" si="146">V236+U237</f>
        <v>-1459</v>
      </c>
      <c r="W237" s="143"/>
    </row>
    <row r="238" spans="1:23" ht="15.75" customHeight="1">
      <c r="A238" s="114"/>
      <c r="B238" s="117"/>
      <c r="C238" s="117"/>
      <c r="D238" s="19">
        <f t="shared" si="140"/>
        <v>-1459</v>
      </c>
      <c r="E238" s="106"/>
      <c r="F238" s="107"/>
      <c r="G238" s="26">
        <f t="shared" si="141"/>
        <v>-1459</v>
      </c>
      <c r="H238" s="133"/>
      <c r="I238" s="117"/>
      <c r="J238" s="19">
        <f t="shared" si="142"/>
        <v>-1459</v>
      </c>
      <c r="K238" s="106"/>
      <c r="L238" s="107"/>
      <c r="M238" s="26">
        <f t="shared" si="143"/>
        <v>-1459</v>
      </c>
      <c r="N238" s="117"/>
      <c r="O238" s="117"/>
      <c r="P238" s="38">
        <f t="shared" si="144"/>
        <v>-1459</v>
      </c>
      <c r="Q238" s="106"/>
      <c r="R238" s="107"/>
      <c r="S238" s="26">
        <f t="shared" si="145"/>
        <v>-1459</v>
      </c>
      <c r="T238" s="136"/>
      <c r="U238" s="136"/>
      <c r="V238" s="45">
        <f t="shared" si="146"/>
        <v>-1459</v>
      </c>
      <c r="W238" s="143"/>
    </row>
    <row r="239" spans="1:23" ht="15.75" customHeight="1">
      <c r="A239" s="114"/>
      <c r="B239" s="117"/>
      <c r="C239" s="117"/>
      <c r="D239" s="19">
        <f t="shared" si="140"/>
        <v>-1459</v>
      </c>
      <c r="E239" s="106"/>
      <c r="F239" s="107"/>
      <c r="G239" s="26">
        <f t="shared" si="141"/>
        <v>-1459</v>
      </c>
      <c r="H239" s="133"/>
      <c r="I239" s="117"/>
      <c r="J239" s="19">
        <f t="shared" si="142"/>
        <v>-1459</v>
      </c>
      <c r="K239" s="106"/>
      <c r="L239" s="107"/>
      <c r="M239" s="26">
        <f t="shared" si="143"/>
        <v>-1459</v>
      </c>
      <c r="N239" s="117"/>
      <c r="O239" s="117"/>
      <c r="P239" s="38">
        <f t="shared" si="144"/>
        <v>-1459</v>
      </c>
      <c r="Q239" s="106"/>
      <c r="R239" s="107"/>
      <c r="S239" s="26">
        <f t="shared" si="145"/>
        <v>-1459</v>
      </c>
      <c r="T239" s="136"/>
      <c r="U239" s="136"/>
      <c r="V239" s="45">
        <f t="shared" si="146"/>
        <v>-1459</v>
      </c>
      <c r="W239" s="143"/>
    </row>
    <row r="240" spans="1:23" ht="15.75" customHeight="1">
      <c r="A240" s="114"/>
      <c r="B240" s="117"/>
      <c r="C240" s="117"/>
      <c r="D240" s="19">
        <f t="shared" si="140"/>
        <v>-1459</v>
      </c>
      <c r="E240" s="106"/>
      <c r="F240" s="107"/>
      <c r="G240" s="26">
        <f t="shared" si="141"/>
        <v>-1459</v>
      </c>
      <c r="H240" s="133"/>
      <c r="I240" s="117"/>
      <c r="J240" s="19">
        <f t="shared" si="142"/>
        <v>-1459</v>
      </c>
      <c r="K240" s="106"/>
      <c r="L240" s="107"/>
      <c r="M240" s="26">
        <f t="shared" si="143"/>
        <v>-1459</v>
      </c>
      <c r="N240" s="117"/>
      <c r="O240" s="117"/>
      <c r="P240" s="38">
        <f t="shared" si="144"/>
        <v>-1459</v>
      </c>
      <c r="Q240" s="106"/>
      <c r="R240" s="107"/>
      <c r="S240" s="26">
        <f t="shared" si="145"/>
        <v>-1459</v>
      </c>
      <c r="T240" s="136"/>
      <c r="U240" s="136"/>
      <c r="V240" s="45">
        <f t="shared" si="146"/>
        <v>-1459</v>
      </c>
      <c r="W240" s="143"/>
    </row>
    <row r="241" spans="1:23" ht="15.75" customHeight="1">
      <c r="A241" s="114"/>
      <c r="B241" s="118"/>
      <c r="C241" s="117"/>
      <c r="D241" s="19">
        <f t="shared" si="140"/>
        <v>-1459</v>
      </c>
      <c r="E241" s="106"/>
      <c r="F241" s="107"/>
      <c r="G241" s="26">
        <f t="shared" si="141"/>
        <v>-1459</v>
      </c>
      <c r="H241" s="133"/>
      <c r="I241" s="117"/>
      <c r="J241" s="19">
        <f t="shared" si="142"/>
        <v>-1459</v>
      </c>
      <c r="K241" s="106"/>
      <c r="L241" s="107"/>
      <c r="M241" s="26">
        <f t="shared" si="143"/>
        <v>-1459</v>
      </c>
      <c r="N241" s="117"/>
      <c r="O241" s="117"/>
      <c r="P241" s="38">
        <f t="shared" si="144"/>
        <v>-1459</v>
      </c>
      <c r="Q241" s="106"/>
      <c r="R241" s="107"/>
      <c r="S241" s="26">
        <f t="shared" si="145"/>
        <v>-1459</v>
      </c>
      <c r="T241" s="136"/>
      <c r="U241" s="136"/>
      <c r="V241" s="45">
        <f t="shared" si="146"/>
        <v>-1459</v>
      </c>
      <c r="W241" s="143"/>
    </row>
    <row r="242" spans="1:23" ht="15.75" customHeight="1">
      <c r="A242" s="114"/>
      <c r="B242" s="117"/>
      <c r="C242" s="117"/>
      <c r="D242" s="19">
        <f t="shared" si="140"/>
        <v>-1459</v>
      </c>
      <c r="E242" s="106"/>
      <c r="F242" s="107"/>
      <c r="G242" s="26">
        <f t="shared" si="141"/>
        <v>-1459</v>
      </c>
      <c r="H242" s="133"/>
      <c r="I242" s="117"/>
      <c r="J242" s="19">
        <f t="shared" si="142"/>
        <v>-1459</v>
      </c>
      <c r="K242" s="106"/>
      <c r="L242" s="107"/>
      <c r="M242" s="26">
        <f t="shared" si="143"/>
        <v>-1459</v>
      </c>
      <c r="N242" s="117"/>
      <c r="O242" s="117"/>
      <c r="P242" s="38">
        <f t="shared" si="144"/>
        <v>-1459</v>
      </c>
      <c r="Q242" s="106"/>
      <c r="R242" s="107"/>
      <c r="S242" s="26">
        <f t="shared" si="145"/>
        <v>-1459</v>
      </c>
      <c r="T242" s="136"/>
      <c r="U242" s="136"/>
      <c r="V242" s="45">
        <f t="shared" si="146"/>
        <v>-1459</v>
      </c>
      <c r="W242" s="143"/>
    </row>
    <row r="243" spans="1:23" ht="15.75" customHeight="1">
      <c r="A243" s="114"/>
      <c r="B243" s="117"/>
      <c r="C243" s="117"/>
      <c r="D243" s="19">
        <f t="shared" si="140"/>
        <v>-1459</v>
      </c>
      <c r="E243" s="106"/>
      <c r="F243" s="107"/>
      <c r="G243" s="26">
        <f t="shared" si="141"/>
        <v>-1459</v>
      </c>
      <c r="H243" s="133"/>
      <c r="I243" s="117"/>
      <c r="J243" s="19">
        <f t="shared" si="142"/>
        <v>-1459</v>
      </c>
      <c r="K243" s="106"/>
      <c r="L243" s="107"/>
      <c r="M243" s="26">
        <f t="shared" si="143"/>
        <v>-1459</v>
      </c>
      <c r="N243" s="117"/>
      <c r="O243" s="117"/>
      <c r="P243" s="38">
        <f t="shared" si="144"/>
        <v>-1459</v>
      </c>
      <c r="Q243" s="106"/>
      <c r="R243" s="107"/>
      <c r="S243" s="26">
        <f t="shared" si="145"/>
        <v>-1459</v>
      </c>
      <c r="T243" s="136"/>
      <c r="U243" s="136"/>
      <c r="V243" s="45">
        <f t="shared" si="146"/>
        <v>-1459</v>
      </c>
      <c r="W243" s="143"/>
    </row>
    <row r="244" spans="1:23" ht="15.75" customHeight="1">
      <c r="A244" s="114"/>
      <c r="B244" s="117"/>
      <c r="C244" s="117"/>
      <c r="D244" s="19">
        <f t="shared" si="140"/>
        <v>-1459</v>
      </c>
      <c r="E244" s="106"/>
      <c r="F244" s="107"/>
      <c r="G244" s="26">
        <f t="shared" si="141"/>
        <v>-1459</v>
      </c>
      <c r="H244" s="133"/>
      <c r="I244" s="117"/>
      <c r="J244" s="19">
        <f t="shared" si="142"/>
        <v>-1459</v>
      </c>
      <c r="K244" s="106"/>
      <c r="L244" s="107"/>
      <c r="M244" s="26">
        <f t="shared" si="143"/>
        <v>-1459</v>
      </c>
      <c r="N244" s="117"/>
      <c r="O244" s="117"/>
      <c r="P244" s="38">
        <f t="shared" si="144"/>
        <v>-1459</v>
      </c>
      <c r="Q244" s="106"/>
      <c r="R244" s="107"/>
      <c r="S244" s="26">
        <f t="shared" si="145"/>
        <v>-1459</v>
      </c>
      <c r="T244" s="136"/>
      <c r="U244" s="136"/>
      <c r="V244" s="45">
        <f t="shared" si="146"/>
        <v>-1459</v>
      </c>
      <c r="W244" s="143"/>
    </row>
    <row r="245" spans="1:23" ht="15.75" customHeight="1">
      <c r="A245" s="114"/>
      <c r="B245" s="117"/>
      <c r="C245" s="117"/>
      <c r="D245" s="19">
        <f t="shared" si="140"/>
        <v>-1459</v>
      </c>
      <c r="E245" s="122"/>
      <c r="F245" s="123"/>
      <c r="G245" s="26">
        <f t="shared" si="141"/>
        <v>-1459</v>
      </c>
      <c r="H245" s="133"/>
      <c r="I245" s="117"/>
      <c r="J245" s="19">
        <f t="shared" si="142"/>
        <v>-1459</v>
      </c>
      <c r="K245" s="122"/>
      <c r="L245" s="123"/>
      <c r="M245" s="26">
        <f t="shared" si="143"/>
        <v>-1459</v>
      </c>
      <c r="N245" s="117"/>
      <c r="O245" s="117"/>
      <c r="P245" s="38">
        <f t="shared" si="144"/>
        <v>-1459</v>
      </c>
      <c r="Q245" s="122"/>
      <c r="R245" s="123"/>
      <c r="S245" s="26">
        <f t="shared" si="145"/>
        <v>-1459</v>
      </c>
      <c r="T245" s="136"/>
      <c r="U245" s="136"/>
      <c r="V245" s="45">
        <f t="shared" si="146"/>
        <v>-1459</v>
      </c>
      <c r="W245" s="143"/>
    </row>
    <row r="246" spans="1:23" ht="15.75" customHeight="1">
      <c r="A246" s="114"/>
      <c r="B246" s="128"/>
      <c r="C246" s="128"/>
      <c r="D246" s="29">
        <f t="shared" si="140"/>
        <v>-1459</v>
      </c>
      <c r="E246" s="122"/>
      <c r="F246" s="123"/>
      <c r="G246" s="53">
        <f t="shared" si="141"/>
        <v>-1459</v>
      </c>
      <c r="H246" s="140"/>
      <c r="I246" s="128"/>
      <c r="J246" s="29">
        <f t="shared" si="142"/>
        <v>-1459</v>
      </c>
      <c r="K246" s="122"/>
      <c r="L246" s="123"/>
      <c r="M246" s="39">
        <f t="shared" si="143"/>
        <v>-1459</v>
      </c>
      <c r="N246" s="128"/>
      <c r="O246" s="128"/>
      <c r="P246" s="40">
        <f t="shared" si="144"/>
        <v>-1459</v>
      </c>
      <c r="Q246" s="122"/>
      <c r="R246" s="123"/>
      <c r="S246" s="39">
        <f t="shared" si="145"/>
        <v>-1459</v>
      </c>
      <c r="T246" s="141"/>
      <c r="U246" s="141"/>
      <c r="V246" s="46">
        <f t="shared" si="146"/>
        <v>-1459</v>
      </c>
      <c r="W246" s="143"/>
    </row>
    <row r="247" spans="1:23" ht="15.75" customHeight="1">
      <c r="A247" s="87"/>
      <c r="B247" s="77">
        <f ca="1">IFERROR(__xludf.DUMMYFUNCTION("DATE(VALUE(LEFT($B$2,4)),VALUE(MID($B$2,6,2)),VALUE(RIGHT($B$2,2)))
+ (VALUE(REGEXEXTRACT(INDIRECT(""A""&amp;ROW()+1),""\d+""))-1)*7
+ INT((COLUMN()-COLUMN($B247))/3)
"),46894)</f>
        <v>46894</v>
      </c>
      <c r="C247" s="81"/>
      <c r="D247" s="82"/>
      <c r="E247" s="77">
        <f ca="1">IFERROR(__xludf.DUMMYFUNCTION("DATE(VALUE(LEFT($B$2,4)),VALUE(MID($B$2,6,2)),VALUE(RIGHT($B$2,2)))
+ (VALUE(REGEXEXTRACT(INDIRECT(""A""&amp;ROW()+1),""\d+""))-1)*7
+ INT((COLUMN()-COLUMN($B247))/3)
"),46895)</f>
        <v>46895</v>
      </c>
      <c r="F247" s="81"/>
      <c r="G247" s="82"/>
      <c r="H247" s="77">
        <f ca="1">IFERROR(__xludf.DUMMYFUNCTION("DATE(VALUE(LEFT($B$2,4)),VALUE(MID($B$2,6,2)),VALUE(RIGHT($B$2,2)))
+ (VALUE(REGEXEXTRACT(INDIRECT(""A""&amp;ROW()+1),""\d+""))-1)*7
+ INT((COLUMN()-COLUMN($B247))/3)
"),46896)</f>
        <v>46896</v>
      </c>
      <c r="I247" s="81"/>
      <c r="J247" s="82"/>
      <c r="K247" s="77">
        <f ca="1">IFERROR(__xludf.DUMMYFUNCTION("DATE(VALUE(LEFT($B$2,4)),VALUE(MID($B$2,6,2)),VALUE(RIGHT($B$2,2)))
+ (VALUE(REGEXEXTRACT(INDIRECT(""A""&amp;ROW()+1),""\d+""))-1)*7
+ INT((COLUMN()-COLUMN($B247))/3)
"),46897)</f>
        <v>46897</v>
      </c>
      <c r="L247" s="81"/>
      <c r="M247" s="82"/>
      <c r="N247" s="77">
        <f ca="1">IFERROR(__xludf.DUMMYFUNCTION("DATE(VALUE(LEFT($B$2,4)),VALUE(MID($B$2,6,2)),VALUE(RIGHT($B$2,2)))
+ (VALUE(REGEXEXTRACT(INDIRECT(""A""&amp;ROW()+1),""\d+""))-1)*7
+ INT((COLUMN()-COLUMN($B247))/3)
"),46898)</f>
        <v>46898</v>
      </c>
      <c r="O247" s="81"/>
      <c r="P247" s="82"/>
      <c r="Q247" s="77">
        <f ca="1">IFERROR(__xludf.DUMMYFUNCTION("DATE(VALUE(LEFT($B$2,4)),VALUE(MID($B$2,6,2)),VALUE(RIGHT($B$2,2)))
+ (VALUE(REGEXEXTRACT(INDIRECT(""A""&amp;ROW()+1),""\d+""))-1)*7
+ INT((COLUMN()-COLUMN($B247))/3)
"),46899)</f>
        <v>46899</v>
      </c>
      <c r="R247" s="81"/>
      <c r="S247" s="82"/>
      <c r="T247" s="77">
        <f ca="1">IFERROR(__xludf.DUMMYFUNCTION("DATE(VALUE(LEFT($B$2,4)),VALUE(MID($B$2,6,2)),VALUE(RIGHT($B$2,2)))
+ (VALUE(REGEXEXTRACT(INDIRECT(""A""&amp;ROW()+1),""\d+""))-1)*7
+ INT((COLUMN()-COLUMN($B247))/3)
"),46900)</f>
        <v>46900</v>
      </c>
      <c r="U247" s="81"/>
      <c r="V247" s="82"/>
      <c r="W247" s="143"/>
    </row>
    <row r="248" spans="1:23" ht="15.75" customHeight="1">
      <c r="A248" s="51" t="s">
        <v>98</v>
      </c>
      <c r="B248" s="112"/>
      <c r="C248" s="111"/>
      <c r="D248" s="17">
        <f>V246+C248</f>
        <v>-1459</v>
      </c>
      <c r="E248" s="109"/>
      <c r="F248" s="109"/>
      <c r="G248" s="42">
        <f>D258+F248</f>
        <v>-1459</v>
      </c>
      <c r="H248" s="112"/>
      <c r="I248" s="111"/>
      <c r="J248" s="17">
        <f>G258+I248</f>
        <v>-1459</v>
      </c>
      <c r="K248" s="109"/>
      <c r="L248" s="109"/>
      <c r="M248" s="35">
        <f>J258+L248</f>
        <v>-1459</v>
      </c>
      <c r="N248" s="112"/>
      <c r="O248" s="111"/>
      <c r="P248" s="17">
        <f>M258+O248</f>
        <v>-1459</v>
      </c>
      <c r="Q248" s="109"/>
      <c r="R248" s="109"/>
      <c r="S248" s="35">
        <f>P258+R248</f>
        <v>-1459</v>
      </c>
      <c r="T248" s="112"/>
      <c r="U248" s="111"/>
      <c r="V248" s="48">
        <f>S258+U248</f>
        <v>-1459</v>
      </c>
      <c r="W248" s="143"/>
    </row>
    <row r="249" spans="1:23" ht="15.75" customHeight="1">
      <c r="A249" s="114"/>
      <c r="B249" s="106"/>
      <c r="C249" s="107"/>
      <c r="D249" s="26">
        <f t="shared" ref="D249:D258" si="147">D248+C249</f>
        <v>-1459</v>
      </c>
      <c r="E249" s="117"/>
      <c r="F249" s="117"/>
      <c r="G249" s="19">
        <f t="shared" ref="G249:G258" si="148">G248+F249</f>
        <v>-1459</v>
      </c>
      <c r="H249" s="106"/>
      <c r="I249" s="107"/>
      <c r="J249" s="26">
        <f t="shared" ref="J249:J258" si="149">J248+I249</f>
        <v>-1459</v>
      </c>
      <c r="K249" s="117"/>
      <c r="L249" s="117"/>
      <c r="M249" s="38">
        <f t="shared" ref="M249:M258" si="150">M248+L249</f>
        <v>-1459</v>
      </c>
      <c r="N249" s="106"/>
      <c r="O249" s="107"/>
      <c r="P249" s="26">
        <f t="shared" ref="P249:P258" si="151">P248+O249</f>
        <v>-1459</v>
      </c>
      <c r="Q249" s="117"/>
      <c r="R249" s="117"/>
      <c r="S249" s="38">
        <f t="shared" ref="S249:S258" si="152">S248+R249</f>
        <v>-1459</v>
      </c>
      <c r="T249" s="106"/>
      <c r="U249" s="107"/>
      <c r="V249" s="20">
        <f t="shared" ref="V249:V258" si="153">V248+U249</f>
        <v>-1459</v>
      </c>
      <c r="W249" s="143"/>
    </row>
    <row r="250" spans="1:23" ht="15.75" customHeight="1">
      <c r="A250" s="114"/>
      <c r="B250" s="106"/>
      <c r="C250" s="107"/>
      <c r="D250" s="26">
        <f t="shared" si="147"/>
        <v>-1459</v>
      </c>
      <c r="E250" s="117"/>
      <c r="F250" s="117"/>
      <c r="G250" s="19">
        <f t="shared" si="148"/>
        <v>-1459</v>
      </c>
      <c r="H250" s="106"/>
      <c r="I250" s="107"/>
      <c r="J250" s="26">
        <f t="shared" si="149"/>
        <v>-1459</v>
      </c>
      <c r="K250" s="117"/>
      <c r="L250" s="117"/>
      <c r="M250" s="38">
        <f t="shared" si="150"/>
        <v>-1459</v>
      </c>
      <c r="N250" s="106"/>
      <c r="O250" s="107"/>
      <c r="P250" s="26">
        <f t="shared" si="151"/>
        <v>-1459</v>
      </c>
      <c r="Q250" s="117"/>
      <c r="R250" s="117"/>
      <c r="S250" s="38">
        <f t="shared" si="152"/>
        <v>-1459</v>
      </c>
      <c r="T250" s="106"/>
      <c r="U250" s="116"/>
      <c r="V250" s="20">
        <f t="shared" si="153"/>
        <v>-1459</v>
      </c>
      <c r="W250" s="143"/>
    </row>
    <row r="251" spans="1:23" ht="15.75" customHeight="1">
      <c r="A251" s="114"/>
      <c r="B251" s="106"/>
      <c r="C251" s="107"/>
      <c r="D251" s="26">
        <f t="shared" si="147"/>
        <v>-1459</v>
      </c>
      <c r="E251" s="117"/>
      <c r="F251" s="117"/>
      <c r="G251" s="19">
        <f t="shared" si="148"/>
        <v>-1459</v>
      </c>
      <c r="H251" s="106"/>
      <c r="I251" s="107"/>
      <c r="J251" s="26">
        <f t="shared" si="149"/>
        <v>-1459</v>
      </c>
      <c r="K251" s="117"/>
      <c r="L251" s="117"/>
      <c r="M251" s="38">
        <f t="shared" si="150"/>
        <v>-1459</v>
      </c>
      <c r="N251" s="106"/>
      <c r="O251" s="107"/>
      <c r="P251" s="26">
        <f t="shared" si="151"/>
        <v>-1459</v>
      </c>
      <c r="Q251" s="117"/>
      <c r="R251" s="117"/>
      <c r="S251" s="38">
        <f t="shared" si="152"/>
        <v>-1459</v>
      </c>
      <c r="T251" s="106"/>
      <c r="U251" s="116"/>
      <c r="V251" s="20">
        <f t="shared" si="153"/>
        <v>-1459</v>
      </c>
      <c r="W251" s="143"/>
    </row>
    <row r="252" spans="1:23" ht="15.75" customHeight="1">
      <c r="A252" s="114"/>
      <c r="B252" s="106"/>
      <c r="C252" s="107"/>
      <c r="D252" s="26">
        <f t="shared" si="147"/>
        <v>-1459</v>
      </c>
      <c r="E252" s="117"/>
      <c r="F252" s="117"/>
      <c r="G252" s="19">
        <f t="shared" si="148"/>
        <v>-1459</v>
      </c>
      <c r="H252" s="106"/>
      <c r="I252" s="107"/>
      <c r="J252" s="26">
        <f t="shared" si="149"/>
        <v>-1459</v>
      </c>
      <c r="K252" s="117"/>
      <c r="L252" s="117"/>
      <c r="M252" s="38">
        <f t="shared" si="150"/>
        <v>-1459</v>
      </c>
      <c r="N252" s="106"/>
      <c r="O252" s="107"/>
      <c r="P252" s="26">
        <f t="shared" si="151"/>
        <v>-1459</v>
      </c>
      <c r="Q252" s="117"/>
      <c r="R252" s="117"/>
      <c r="S252" s="38">
        <f t="shared" si="152"/>
        <v>-1459</v>
      </c>
      <c r="T252" s="106"/>
      <c r="U252" s="116"/>
      <c r="V252" s="20">
        <f t="shared" si="153"/>
        <v>-1459</v>
      </c>
      <c r="W252" s="143"/>
    </row>
    <row r="253" spans="1:23" ht="15.75" customHeight="1">
      <c r="A253" s="114"/>
      <c r="B253" s="106"/>
      <c r="C253" s="107"/>
      <c r="D253" s="26">
        <f t="shared" si="147"/>
        <v>-1459</v>
      </c>
      <c r="E253" s="117"/>
      <c r="F253" s="117"/>
      <c r="G253" s="19">
        <f t="shared" si="148"/>
        <v>-1459</v>
      </c>
      <c r="H253" s="106"/>
      <c r="I253" s="107"/>
      <c r="J253" s="26">
        <f t="shared" si="149"/>
        <v>-1459</v>
      </c>
      <c r="K253" s="117"/>
      <c r="L253" s="117"/>
      <c r="M253" s="38">
        <f t="shared" si="150"/>
        <v>-1459</v>
      </c>
      <c r="N253" s="106"/>
      <c r="O253" s="107"/>
      <c r="P253" s="26">
        <f t="shared" si="151"/>
        <v>-1459</v>
      </c>
      <c r="Q253" s="117"/>
      <c r="R253" s="117"/>
      <c r="S253" s="38">
        <f t="shared" si="152"/>
        <v>-1459</v>
      </c>
      <c r="T253" s="106"/>
      <c r="U253" s="116"/>
      <c r="V253" s="20">
        <f t="shared" si="153"/>
        <v>-1459</v>
      </c>
      <c r="W253" s="143"/>
    </row>
    <row r="254" spans="1:23" ht="15.75" customHeight="1">
      <c r="A254" s="114"/>
      <c r="B254" s="106"/>
      <c r="C254" s="107"/>
      <c r="D254" s="26">
        <f t="shared" si="147"/>
        <v>-1459</v>
      </c>
      <c r="E254" s="117"/>
      <c r="F254" s="117"/>
      <c r="G254" s="19">
        <f t="shared" si="148"/>
        <v>-1459</v>
      </c>
      <c r="H254" s="106"/>
      <c r="I254" s="107"/>
      <c r="J254" s="26">
        <f t="shared" si="149"/>
        <v>-1459</v>
      </c>
      <c r="K254" s="117"/>
      <c r="L254" s="117"/>
      <c r="M254" s="38">
        <f t="shared" si="150"/>
        <v>-1459</v>
      </c>
      <c r="N254" s="106"/>
      <c r="O254" s="107"/>
      <c r="P254" s="26">
        <f t="shared" si="151"/>
        <v>-1459</v>
      </c>
      <c r="Q254" s="117"/>
      <c r="R254" s="117"/>
      <c r="S254" s="38">
        <f t="shared" si="152"/>
        <v>-1459</v>
      </c>
      <c r="T254" s="106"/>
      <c r="U254" s="116"/>
      <c r="V254" s="20">
        <f t="shared" si="153"/>
        <v>-1459</v>
      </c>
      <c r="W254" s="143"/>
    </row>
    <row r="255" spans="1:23" ht="15.75" customHeight="1">
      <c r="A255" s="114"/>
      <c r="B255" s="106"/>
      <c r="C255" s="107"/>
      <c r="D255" s="26">
        <f t="shared" si="147"/>
        <v>-1459</v>
      </c>
      <c r="E255" s="117"/>
      <c r="F255" s="117"/>
      <c r="G255" s="19">
        <f t="shared" si="148"/>
        <v>-1459</v>
      </c>
      <c r="H255" s="106"/>
      <c r="I255" s="107"/>
      <c r="J255" s="26">
        <f t="shared" si="149"/>
        <v>-1459</v>
      </c>
      <c r="K255" s="117"/>
      <c r="L255" s="117"/>
      <c r="M255" s="38">
        <f t="shared" si="150"/>
        <v>-1459</v>
      </c>
      <c r="N255" s="106"/>
      <c r="O255" s="107"/>
      <c r="P255" s="26">
        <f t="shared" si="151"/>
        <v>-1459</v>
      </c>
      <c r="Q255" s="117"/>
      <c r="R255" s="117"/>
      <c r="S255" s="38">
        <f t="shared" si="152"/>
        <v>-1459</v>
      </c>
      <c r="T255" s="106"/>
      <c r="U255" s="116"/>
      <c r="V255" s="20">
        <f t="shared" si="153"/>
        <v>-1459</v>
      </c>
      <c r="W255" s="143"/>
    </row>
    <row r="256" spans="1:23" ht="15.75" customHeight="1">
      <c r="A256" s="114"/>
      <c r="B256" s="122"/>
      <c r="C256" s="123"/>
      <c r="D256" s="26">
        <f t="shared" si="147"/>
        <v>-1459</v>
      </c>
      <c r="E256" s="117"/>
      <c r="F256" s="117"/>
      <c r="G256" s="19">
        <f t="shared" si="148"/>
        <v>-1459</v>
      </c>
      <c r="H256" s="122"/>
      <c r="I256" s="123"/>
      <c r="J256" s="26">
        <f t="shared" si="149"/>
        <v>-1459</v>
      </c>
      <c r="K256" s="117"/>
      <c r="L256" s="117"/>
      <c r="M256" s="38">
        <f t="shared" si="150"/>
        <v>-1459</v>
      </c>
      <c r="N256" s="106"/>
      <c r="O256" s="107"/>
      <c r="P256" s="26">
        <f t="shared" si="151"/>
        <v>-1459</v>
      </c>
      <c r="Q256" s="117"/>
      <c r="R256" s="117"/>
      <c r="S256" s="38">
        <f t="shared" si="152"/>
        <v>-1459</v>
      </c>
      <c r="T256" s="106"/>
      <c r="U256" s="116"/>
      <c r="V256" s="20">
        <f t="shared" si="153"/>
        <v>-1459</v>
      </c>
      <c r="W256" s="143"/>
    </row>
    <row r="257" spans="1:23" ht="15.75" customHeight="1">
      <c r="A257" s="114"/>
      <c r="B257" s="122"/>
      <c r="C257" s="123"/>
      <c r="D257" s="26">
        <f t="shared" si="147"/>
        <v>-1459</v>
      </c>
      <c r="E257" s="117"/>
      <c r="F257" s="117"/>
      <c r="G257" s="19">
        <f t="shared" si="148"/>
        <v>-1459</v>
      </c>
      <c r="H257" s="122"/>
      <c r="I257" s="123"/>
      <c r="J257" s="26">
        <f t="shared" si="149"/>
        <v>-1459</v>
      </c>
      <c r="K257" s="117"/>
      <c r="L257" s="117"/>
      <c r="M257" s="38">
        <f t="shared" si="150"/>
        <v>-1459</v>
      </c>
      <c r="N257" s="122"/>
      <c r="O257" s="123"/>
      <c r="P257" s="26">
        <f t="shared" si="151"/>
        <v>-1459</v>
      </c>
      <c r="Q257" s="117"/>
      <c r="R257" s="117"/>
      <c r="S257" s="38">
        <f t="shared" si="152"/>
        <v>-1459</v>
      </c>
      <c r="T257" s="122"/>
      <c r="U257" s="124"/>
      <c r="V257" s="20">
        <f t="shared" si="153"/>
        <v>-1459</v>
      </c>
      <c r="W257" s="143"/>
    </row>
    <row r="258" spans="1:23" ht="15.75" customHeight="1">
      <c r="A258" s="114"/>
      <c r="B258" s="122"/>
      <c r="C258" s="123"/>
      <c r="D258" s="39">
        <f t="shared" si="147"/>
        <v>-1459</v>
      </c>
      <c r="E258" s="128"/>
      <c r="F258" s="128"/>
      <c r="G258" s="29">
        <f t="shared" si="148"/>
        <v>-1459</v>
      </c>
      <c r="H258" s="122"/>
      <c r="I258" s="123"/>
      <c r="J258" s="39">
        <f t="shared" si="149"/>
        <v>-1459</v>
      </c>
      <c r="K258" s="128"/>
      <c r="L258" s="128"/>
      <c r="M258" s="40">
        <f t="shared" si="150"/>
        <v>-1459</v>
      </c>
      <c r="N258" s="122"/>
      <c r="O258" s="123"/>
      <c r="P258" s="39">
        <f t="shared" si="151"/>
        <v>-1459</v>
      </c>
      <c r="Q258" s="128"/>
      <c r="R258" s="128"/>
      <c r="S258" s="40">
        <f t="shared" si="152"/>
        <v>-1459</v>
      </c>
      <c r="T258" s="122"/>
      <c r="U258" s="123"/>
      <c r="V258" s="49">
        <f t="shared" si="153"/>
        <v>-1459</v>
      </c>
      <c r="W258" s="143"/>
    </row>
    <row r="259" spans="1:23" ht="15.75" customHeight="1">
      <c r="A259" s="87"/>
      <c r="B259" s="77">
        <f ca="1">IFERROR(__xludf.DUMMYFUNCTION("DATE(VALUE(LEFT($B$2,4)),VALUE(MID($B$2,6,2)),VALUE(RIGHT($B$2,2)))
+ (VALUE(REGEXEXTRACT(INDIRECT(""A""&amp;ROW()+1),""\d+""))-1)*7
+ INT((COLUMN()-COLUMN($B259))/3)
"),46901)</f>
        <v>46901</v>
      </c>
      <c r="C259" s="81"/>
      <c r="D259" s="82"/>
      <c r="E259" s="77">
        <f ca="1">IFERROR(__xludf.DUMMYFUNCTION("DATE(VALUE(LEFT($B$2,4)),VALUE(MID($B$2,6,2)),VALUE(RIGHT($B$2,2)))
+ (VALUE(REGEXEXTRACT(INDIRECT(""A""&amp;ROW()+1),""\d+""))-1)*7
+ INT((COLUMN()-COLUMN($B259))/3)
"),46902)</f>
        <v>46902</v>
      </c>
      <c r="F259" s="81"/>
      <c r="G259" s="82"/>
      <c r="H259" s="77">
        <f ca="1">IFERROR(__xludf.DUMMYFUNCTION("DATE(VALUE(LEFT($B$2,4)),VALUE(MID($B$2,6,2)),VALUE(RIGHT($B$2,2)))
+ (VALUE(REGEXEXTRACT(INDIRECT(""A""&amp;ROW()+1),""\d+""))-1)*7
+ INT((COLUMN()-COLUMN($B259))/3)
"),46903)</f>
        <v>46903</v>
      </c>
      <c r="I259" s="81"/>
      <c r="J259" s="82"/>
      <c r="K259" s="77">
        <f ca="1">IFERROR(__xludf.DUMMYFUNCTION("DATE(VALUE(LEFT($B$2,4)),VALUE(MID($B$2,6,2)),VALUE(RIGHT($B$2,2)))
+ (VALUE(REGEXEXTRACT(INDIRECT(""A""&amp;ROW()+1),""\d+""))-1)*7
+ INT((COLUMN()-COLUMN($B259))/3)
"),46904)</f>
        <v>46904</v>
      </c>
      <c r="L259" s="81"/>
      <c r="M259" s="82"/>
      <c r="N259" s="77">
        <f ca="1">IFERROR(__xludf.DUMMYFUNCTION("DATE(VALUE(LEFT($B$2,4)),VALUE(MID($B$2,6,2)),VALUE(RIGHT($B$2,2)))
+ (VALUE(REGEXEXTRACT(INDIRECT(""A""&amp;ROW()+1),""\d+""))-1)*7
+ INT((COLUMN()-COLUMN($B259))/3)
"),46905)</f>
        <v>46905</v>
      </c>
      <c r="O259" s="81"/>
      <c r="P259" s="82"/>
      <c r="Q259" s="77">
        <f ca="1">IFERROR(__xludf.DUMMYFUNCTION("DATE(VALUE(LEFT($B$2,4)),VALUE(MID($B$2,6,2)),VALUE(RIGHT($B$2,2)))
+ (VALUE(REGEXEXTRACT(INDIRECT(""A""&amp;ROW()+1),""\d+""))-1)*7
+ INT((COLUMN()-COLUMN($B259))/3)
"),46906)</f>
        <v>46906</v>
      </c>
      <c r="R259" s="81"/>
      <c r="S259" s="82"/>
      <c r="T259" s="77">
        <f ca="1">IFERROR(__xludf.DUMMYFUNCTION("DATE(VALUE(LEFT($B$2,4)),VALUE(MID($B$2,6,2)),VALUE(RIGHT($B$2,2)))
+ (VALUE(REGEXEXTRACT(INDIRECT(""A""&amp;ROW()+1),""\d+""))-1)*7
+ INT((COLUMN()-COLUMN($B259))/3)
"),46907)</f>
        <v>46907</v>
      </c>
      <c r="U259" s="81"/>
      <c r="V259" s="82"/>
      <c r="W259" s="52" t="s">
        <v>20</v>
      </c>
    </row>
    <row r="260" spans="1:23" ht="15.75" customHeight="1">
      <c r="A260" s="47" t="s">
        <v>106</v>
      </c>
      <c r="B260" s="109"/>
      <c r="C260" s="109"/>
      <c r="D260" s="42">
        <f>V258+C260</f>
        <v>-1459</v>
      </c>
      <c r="E260" s="112"/>
      <c r="F260" s="111"/>
      <c r="G260" s="48">
        <f>D270+F260</f>
        <v>-1459</v>
      </c>
      <c r="H260" s="149"/>
      <c r="I260" s="150"/>
      <c r="J260" s="54">
        <f>G270+I260</f>
        <v>-1459</v>
      </c>
      <c r="K260" s="110"/>
      <c r="L260" s="111"/>
      <c r="M260" s="18">
        <f>J270+L260</f>
        <v>-1459</v>
      </c>
      <c r="N260" s="113"/>
      <c r="O260" s="109"/>
      <c r="P260" s="35">
        <f>M270+O260</f>
        <v>-1459</v>
      </c>
      <c r="Q260" s="112"/>
      <c r="R260" s="111"/>
      <c r="S260" s="18">
        <f>P270+R260</f>
        <v>-1459</v>
      </c>
      <c r="T260" s="113"/>
      <c r="U260" s="109"/>
      <c r="V260" s="50">
        <f>S270+U260</f>
        <v>-1459</v>
      </c>
      <c r="W260" s="172"/>
    </row>
    <row r="261" spans="1:23" ht="15.75" customHeight="1">
      <c r="A261" s="114"/>
      <c r="B261" s="117"/>
      <c r="C261" s="117"/>
      <c r="D261" s="19">
        <f t="shared" ref="D261:D270" si="154">D260+C261</f>
        <v>-1459</v>
      </c>
      <c r="E261" s="116"/>
      <c r="F261" s="107"/>
      <c r="G261" s="20">
        <f t="shared" ref="G261:G270" si="155">G260+F261</f>
        <v>-1459</v>
      </c>
      <c r="H261" s="118"/>
      <c r="I261" s="117"/>
      <c r="J261" s="19">
        <f t="shared" ref="J261:J270" si="156">J260+I261</f>
        <v>-1459</v>
      </c>
      <c r="K261" s="116"/>
      <c r="L261" s="107"/>
      <c r="M261" s="26">
        <f t="shared" ref="M261:M270" si="157">M260+L261</f>
        <v>-1459</v>
      </c>
      <c r="N261" s="118"/>
      <c r="O261" s="117"/>
      <c r="P261" s="38">
        <f t="shared" ref="P261:P270" si="158">P260+O261</f>
        <v>-1459</v>
      </c>
      <c r="Q261" s="106"/>
      <c r="R261" s="107"/>
      <c r="S261" s="26">
        <f t="shared" ref="S261:S270" si="159">S260+R261</f>
        <v>-1459</v>
      </c>
      <c r="T261" s="136"/>
      <c r="U261" s="136"/>
      <c r="V261" s="45">
        <f t="shared" ref="V261:V270" si="160">V260+U261</f>
        <v>-1459</v>
      </c>
      <c r="W261" s="143"/>
    </row>
    <row r="262" spans="1:23" ht="15.75" customHeight="1">
      <c r="A262" s="114"/>
      <c r="B262" s="117"/>
      <c r="C262" s="117"/>
      <c r="D262" s="19">
        <f t="shared" si="154"/>
        <v>-1459</v>
      </c>
      <c r="E262" s="116"/>
      <c r="F262" s="107"/>
      <c r="G262" s="20">
        <f t="shared" si="155"/>
        <v>-1459</v>
      </c>
      <c r="H262" s="118"/>
      <c r="I262" s="117"/>
      <c r="J262" s="19">
        <f t="shared" si="156"/>
        <v>-1459</v>
      </c>
      <c r="K262" s="116"/>
      <c r="L262" s="107"/>
      <c r="M262" s="26">
        <f t="shared" si="157"/>
        <v>-1459</v>
      </c>
      <c r="N262" s="117"/>
      <c r="O262" s="117"/>
      <c r="P262" s="38">
        <f t="shared" si="158"/>
        <v>-1459</v>
      </c>
      <c r="Q262" s="106"/>
      <c r="R262" s="107"/>
      <c r="S262" s="26">
        <f t="shared" si="159"/>
        <v>-1459</v>
      </c>
      <c r="T262" s="136"/>
      <c r="U262" s="136"/>
      <c r="V262" s="45">
        <f t="shared" si="160"/>
        <v>-1459</v>
      </c>
      <c r="W262" s="143"/>
    </row>
    <row r="263" spans="1:23" ht="15.75" customHeight="1">
      <c r="A263" s="114"/>
      <c r="B263" s="117"/>
      <c r="C263" s="117"/>
      <c r="D263" s="19">
        <f t="shared" si="154"/>
        <v>-1459</v>
      </c>
      <c r="E263" s="116"/>
      <c r="F263" s="107"/>
      <c r="G263" s="20">
        <f t="shared" si="155"/>
        <v>-1459</v>
      </c>
      <c r="H263" s="118"/>
      <c r="I263" s="117"/>
      <c r="J263" s="19">
        <f t="shared" si="156"/>
        <v>-1459</v>
      </c>
      <c r="K263" s="116"/>
      <c r="L263" s="107"/>
      <c r="M263" s="26">
        <f t="shared" si="157"/>
        <v>-1459</v>
      </c>
      <c r="N263" s="117"/>
      <c r="O263" s="117"/>
      <c r="P263" s="38">
        <f t="shared" si="158"/>
        <v>-1459</v>
      </c>
      <c r="Q263" s="106"/>
      <c r="R263" s="107"/>
      <c r="S263" s="26">
        <f t="shared" si="159"/>
        <v>-1459</v>
      </c>
      <c r="T263" s="136"/>
      <c r="U263" s="136"/>
      <c r="V263" s="45">
        <f t="shared" si="160"/>
        <v>-1459</v>
      </c>
      <c r="W263" s="143"/>
    </row>
    <row r="264" spans="1:23" ht="15.75" customHeight="1">
      <c r="A264" s="114"/>
      <c r="B264" s="117"/>
      <c r="C264" s="117"/>
      <c r="D264" s="19">
        <f t="shared" si="154"/>
        <v>-1459</v>
      </c>
      <c r="E264" s="116"/>
      <c r="F264" s="107"/>
      <c r="G264" s="20">
        <f t="shared" si="155"/>
        <v>-1459</v>
      </c>
      <c r="H264" s="118"/>
      <c r="I264" s="117"/>
      <c r="J264" s="19">
        <f t="shared" si="156"/>
        <v>-1459</v>
      </c>
      <c r="K264" s="116"/>
      <c r="L264" s="107"/>
      <c r="M264" s="26">
        <f t="shared" si="157"/>
        <v>-1459</v>
      </c>
      <c r="N264" s="117"/>
      <c r="O264" s="117"/>
      <c r="P264" s="38">
        <f t="shared" si="158"/>
        <v>-1459</v>
      </c>
      <c r="Q264" s="106"/>
      <c r="R264" s="107"/>
      <c r="S264" s="26">
        <f t="shared" si="159"/>
        <v>-1459</v>
      </c>
      <c r="T264" s="136"/>
      <c r="U264" s="136"/>
      <c r="V264" s="45">
        <f t="shared" si="160"/>
        <v>-1459</v>
      </c>
      <c r="W264" s="143"/>
    </row>
    <row r="265" spans="1:23" ht="15.75" customHeight="1">
      <c r="A265" s="114"/>
      <c r="B265" s="118"/>
      <c r="C265" s="117"/>
      <c r="D265" s="19">
        <f t="shared" si="154"/>
        <v>-1459</v>
      </c>
      <c r="E265" s="116"/>
      <c r="F265" s="107"/>
      <c r="G265" s="20">
        <f t="shared" si="155"/>
        <v>-1459</v>
      </c>
      <c r="H265" s="118"/>
      <c r="I265" s="117"/>
      <c r="J265" s="19">
        <f t="shared" si="156"/>
        <v>-1459</v>
      </c>
      <c r="K265" s="116"/>
      <c r="L265" s="107"/>
      <c r="M265" s="26">
        <f t="shared" si="157"/>
        <v>-1459</v>
      </c>
      <c r="N265" s="117"/>
      <c r="O265" s="117"/>
      <c r="P265" s="38">
        <f t="shared" si="158"/>
        <v>-1459</v>
      </c>
      <c r="Q265" s="106"/>
      <c r="R265" s="107"/>
      <c r="S265" s="26">
        <f t="shared" si="159"/>
        <v>-1459</v>
      </c>
      <c r="T265" s="136"/>
      <c r="U265" s="136"/>
      <c r="V265" s="45">
        <f t="shared" si="160"/>
        <v>-1459</v>
      </c>
      <c r="W265" s="143"/>
    </row>
    <row r="266" spans="1:23" ht="15.75" customHeight="1">
      <c r="A266" s="114"/>
      <c r="B266" s="117"/>
      <c r="C266" s="117"/>
      <c r="D266" s="19">
        <f t="shared" si="154"/>
        <v>-1459</v>
      </c>
      <c r="E266" s="106"/>
      <c r="F266" s="107"/>
      <c r="G266" s="20">
        <f t="shared" si="155"/>
        <v>-1459</v>
      </c>
      <c r="H266" s="118"/>
      <c r="I266" s="117"/>
      <c r="J266" s="19">
        <f t="shared" si="156"/>
        <v>-1459</v>
      </c>
      <c r="K266" s="116"/>
      <c r="L266" s="107"/>
      <c r="M266" s="26">
        <f t="shared" si="157"/>
        <v>-1459</v>
      </c>
      <c r="N266" s="117"/>
      <c r="O266" s="117"/>
      <c r="P266" s="38">
        <f t="shared" si="158"/>
        <v>-1459</v>
      </c>
      <c r="Q266" s="106"/>
      <c r="R266" s="107"/>
      <c r="S266" s="26">
        <f t="shared" si="159"/>
        <v>-1459</v>
      </c>
      <c r="T266" s="136"/>
      <c r="U266" s="136"/>
      <c r="V266" s="45">
        <f t="shared" si="160"/>
        <v>-1459</v>
      </c>
      <c r="W266" s="143"/>
    </row>
    <row r="267" spans="1:23" ht="15.75" customHeight="1">
      <c r="A267" s="114"/>
      <c r="B267" s="117"/>
      <c r="C267" s="117"/>
      <c r="D267" s="19">
        <f t="shared" si="154"/>
        <v>-1459</v>
      </c>
      <c r="E267" s="106"/>
      <c r="F267" s="107"/>
      <c r="G267" s="20">
        <f t="shared" si="155"/>
        <v>-1459</v>
      </c>
      <c r="H267" s="118"/>
      <c r="I267" s="117"/>
      <c r="J267" s="19">
        <f t="shared" si="156"/>
        <v>-1459</v>
      </c>
      <c r="K267" s="116"/>
      <c r="L267" s="107"/>
      <c r="M267" s="26">
        <f t="shared" si="157"/>
        <v>-1459</v>
      </c>
      <c r="N267" s="117"/>
      <c r="O267" s="117"/>
      <c r="P267" s="38">
        <f t="shared" si="158"/>
        <v>-1459</v>
      </c>
      <c r="Q267" s="106"/>
      <c r="R267" s="107"/>
      <c r="S267" s="26">
        <f t="shared" si="159"/>
        <v>-1459</v>
      </c>
      <c r="T267" s="136"/>
      <c r="U267" s="136"/>
      <c r="V267" s="45">
        <f t="shared" si="160"/>
        <v>-1459</v>
      </c>
      <c r="W267" s="143"/>
    </row>
    <row r="268" spans="1:23" ht="15.75" customHeight="1">
      <c r="A268" s="114"/>
      <c r="B268" s="117"/>
      <c r="C268" s="117"/>
      <c r="D268" s="19">
        <f t="shared" si="154"/>
        <v>-1459</v>
      </c>
      <c r="E268" s="106"/>
      <c r="F268" s="107"/>
      <c r="G268" s="20">
        <f t="shared" si="155"/>
        <v>-1459</v>
      </c>
      <c r="H268" s="118"/>
      <c r="I268" s="117"/>
      <c r="J268" s="19">
        <f t="shared" si="156"/>
        <v>-1459</v>
      </c>
      <c r="K268" s="116"/>
      <c r="L268" s="107"/>
      <c r="M268" s="26">
        <f t="shared" si="157"/>
        <v>-1459</v>
      </c>
      <c r="N268" s="117"/>
      <c r="O268" s="117"/>
      <c r="P268" s="38">
        <f t="shared" si="158"/>
        <v>-1459</v>
      </c>
      <c r="Q268" s="106"/>
      <c r="R268" s="107"/>
      <c r="S268" s="26">
        <f t="shared" si="159"/>
        <v>-1459</v>
      </c>
      <c r="T268" s="136"/>
      <c r="U268" s="136"/>
      <c r="V268" s="45">
        <f t="shared" si="160"/>
        <v>-1459</v>
      </c>
      <c r="W268" s="143"/>
    </row>
    <row r="269" spans="1:23" ht="15.75" customHeight="1">
      <c r="A269" s="114"/>
      <c r="B269" s="117"/>
      <c r="C269" s="117"/>
      <c r="D269" s="19">
        <f t="shared" si="154"/>
        <v>-1459</v>
      </c>
      <c r="E269" s="122"/>
      <c r="F269" s="123"/>
      <c r="G269" s="20">
        <f t="shared" si="155"/>
        <v>-1459</v>
      </c>
      <c r="H269" s="118"/>
      <c r="I269" s="117"/>
      <c r="J269" s="19">
        <f t="shared" si="156"/>
        <v>-1459</v>
      </c>
      <c r="K269" s="124"/>
      <c r="L269" s="123"/>
      <c r="M269" s="26">
        <f t="shared" si="157"/>
        <v>-1459</v>
      </c>
      <c r="N269" s="117"/>
      <c r="O269" s="117"/>
      <c r="P269" s="38">
        <f t="shared" si="158"/>
        <v>-1459</v>
      </c>
      <c r="Q269" s="122"/>
      <c r="R269" s="123"/>
      <c r="S269" s="26">
        <f t="shared" si="159"/>
        <v>-1459</v>
      </c>
      <c r="T269" s="136"/>
      <c r="U269" s="136"/>
      <c r="V269" s="45">
        <f t="shared" si="160"/>
        <v>-1459</v>
      </c>
      <c r="W269" s="143"/>
    </row>
    <row r="270" spans="1:23" ht="15.75" customHeight="1">
      <c r="A270" s="114"/>
      <c r="B270" s="128"/>
      <c r="C270" s="128"/>
      <c r="D270" s="29">
        <f t="shared" si="154"/>
        <v>-1459</v>
      </c>
      <c r="E270" s="122"/>
      <c r="F270" s="123"/>
      <c r="G270" s="49">
        <f t="shared" si="155"/>
        <v>-1459</v>
      </c>
      <c r="H270" s="154"/>
      <c r="I270" s="128"/>
      <c r="J270" s="29">
        <f t="shared" si="156"/>
        <v>-1459</v>
      </c>
      <c r="K270" s="124"/>
      <c r="L270" s="123"/>
      <c r="M270" s="39">
        <f t="shared" si="157"/>
        <v>-1459</v>
      </c>
      <c r="N270" s="128"/>
      <c r="O270" s="128"/>
      <c r="P270" s="40">
        <f t="shared" si="158"/>
        <v>-1459</v>
      </c>
      <c r="Q270" s="122"/>
      <c r="R270" s="123"/>
      <c r="S270" s="39">
        <f t="shared" si="159"/>
        <v>-1459</v>
      </c>
      <c r="T270" s="141"/>
      <c r="U270" s="141"/>
      <c r="V270" s="46">
        <f t="shared" si="160"/>
        <v>-1459</v>
      </c>
      <c r="W270" s="143"/>
    </row>
    <row r="271" spans="1:23" ht="15.75" customHeight="1">
      <c r="A271" s="87"/>
      <c r="B271" s="77">
        <f ca="1">IFERROR(__xludf.DUMMYFUNCTION("DATE(VALUE(LEFT($B$2,4)),VALUE(MID($B$2,6,2)),VALUE(RIGHT($B$2,2)))
+ (VALUE(REGEXEXTRACT(INDIRECT(""A""&amp;ROW()+1),""\d+""))-1)*7
+ INT((COLUMN()-COLUMN($B271))/3)
"),46908)</f>
        <v>46908</v>
      </c>
      <c r="C271" s="81"/>
      <c r="D271" s="82"/>
      <c r="E271" s="77">
        <f ca="1">IFERROR(__xludf.DUMMYFUNCTION("DATE(VALUE(LEFT($B$2,4)),VALUE(MID($B$2,6,2)),VALUE(RIGHT($B$2,2)))
+ (VALUE(REGEXEXTRACT(INDIRECT(""A""&amp;ROW()+1),""\d+""))-1)*7
+ INT((COLUMN()-COLUMN($B271))/3)
"),46909)</f>
        <v>46909</v>
      </c>
      <c r="F271" s="81"/>
      <c r="G271" s="82"/>
      <c r="H271" s="77">
        <f ca="1">IFERROR(__xludf.DUMMYFUNCTION("DATE(VALUE(LEFT($B$2,4)),VALUE(MID($B$2,6,2)),VALUE(RIGHT($B$2,2)))
+ (VALUE(REGEXEXTRACT(INDIRECT(""A""&amp;ROW()+1),""\d+""))-1)*7
+ INT((COLUMN()-COLUMN($B271))/3)
"),46910)</f>
        <v>46910</v>
      </c>
      <c r="I271" s="81"/>
      <c r="J271" s="82"/>
      <c r="K271" s="77">
        <f ca="1">IFERROR(__xludf.DUMMYFUNCTION("DATE(VALUE(LEFT($B$2,4)),VALUE(MID($B$2,6,2)),VALUE(RIGHT($B$2,2)))
+ (VALUE(REGEXEXTRACT(INDIRECT(""A""&amp;ROW()+1),""\d+""))-1)*7
+ INT((COLUMN()-COLUMN($B271))/3)
"),46911)</f>
        <v>46911</v>
      </c>
      <c r="L271" s="81"/>
      <c r="M271" s="82"/>
      <c r="N271" s="77">
        <f ca="1">IFERROR(__xludf.DUMMYFUNCTION("DATE(VALUE(LEFT($B$2,4)),VALUE(MID($B$2,6,2)),VALUE(RIGHT($B$2,2)))
+ (VALUE(REGEXEXTRACT(INDIRECT(""A""&amp;ROW()+1),""\d+""))-1)*7
+ INT((COLUMN()-COLUMN($B271))/3)
"),46912)</f>
        <v>46912</v>
      </c>
      <c r="O271" s="81"/>
      <c r="P271" s="82"/>
      <c r="Q271" s="77">
        <f ca="1">IFERROR(__xludf.DUMMYFUNCTION("DATE(VALUE(LEFT($B$2,4)),VALUE(MID($B$2,6,2)),VALUE(RIGHT($B$2,2)))
+ (VALUE(REGEXEXTRACT(INDIRECT(""A""&amp;ROW()+1),""\d+""))-1)*7
+ INT((COLUMN()-COLUMN($B271))/3)
"),46913)</f>
        <v>46913</v>
      </c>
      <c r="R271" s="81"/>
      <c r="S271" s="82"/>
      <c r="T271" s="77">
        <f ca="1">IFERROR(__xludf.DUMMYFUNCTION("DATE(VALUE(LEFT($B$2,4)),VALUE(MID($B$2,6,2)),VALUE(RIGHT($B$2,2)))
+ (VALUE(REGEXEXTRACT(INDIRECT(""A""&amp;ROW()+1),""\d+""))-1)*7
+ INT((COLUMN()-COLUMN($B271))/3)
"),46914)</f>
        <v>46914</v>
      </c>
      <c r="U271" s="81"/>
      <c r="V271" s="82"/>
      <c r="W271" s="143"/>
    </row>
    <row r="272" spans="1:23" ht="15.75" customHeight="1">
      <c r="A272" s="51" t="s">
        <v>118</v>
      </c>
      <c r="B272" s="112"/>
      <c r="C272" s="111"/>
      <c r="D272" s="17">
        <f>V270+C272</f>
        <v>-1459</v>
      </c>
      <c r="E272" s="109"/>
      <c r="F272" s="109"/>
      <c r="G272" s="50">
        <f>D282+F272</f>
        <v>-1459</v>
      </c>
      <c r="H272" s="112"/>
      <c r="I272" s="111"/>
      <c r="J272" s="17">
        <f>G282+I272</f>
        <v>-1459</v>
      </c>
      <c r="K272" s="132"/>
      <c r="L272" s="109"/>
      <c r="M272" s="56">
        <f>J282+L272</f>
        <v>-1459</v>
      </c>
      <c r="N272" s="110"/>
      <c r="O272" s="111"/>
      <c r="P272" s="17">
        <f>M282+O272</f>
        <v>-1459</v>
      </c>
      <c r="Q272" s="109"/>
      <c r="R272" s="109"/>
      <c r="S272" s="35">
        <f>P282+R272</f>
        <v>-1459</v>
      </c>
      <c r="T272" s="112"/>
      <c r="U272" s="111"/>
      <c r="V272" s="48">
        <f>S282+U272</f>
        <v>-1459</v>
      </c>
      <c r="W272" s="143"/>
    </row>
    <row r="273" spans="1:23" ht="15.75" customHeight="1">
      <c r="A273" s="114"/>
      <c r="B273" s="106"/>
      <c r="C273" s="107"/>
      <c r="D273" s="26">
        <f t="shared" ref="D273:D282" si="161">D272+C273</f>
        <v>-1459</v>
      </c>
      <c r="E273" s="117"/>
      <c r="F273" s="117"/>
      <c r="G273" s="45">
        <f t="shared" ref="G273:G282" si="162">G272+F273</f>
        <v>-1459</v>
      </c>
      <c r="H273" s="106"/>
      <c r="I273" s="107"/>
      <c r="J273" s="26">
        <f t="shared" ref="J273:J282" si="163">J272+I273</f>
        <v>-1459</v>
      </c>
      <c r="K273" s="133"/>
      <c r="L273" s="117"/>
      <c r="M273" s="57">
        <f t="shared" ref="M273:M282" si="164">M272+L273</f>
        <v>-1459</v>
      </c>
      <c r="N273" s="116"/>
      <c r="O273" s="107"/>
      <c r="P273" s="26">
        <f t="shared" ref="P273:P282" si="165">P272+O273</f>
        <v>-1459</v>
      </c>
      <c r="Q273" s="117"/>
      <c r="R273" s="117"/>
      <c r="S273" s="19">
        <f t="shared" ref="S273:S282" si="166">S272+R273</f>
        <v>-1459</v>
      </c>
      <c r="T273" s="116"/>
      <c r="U273" s="107"/>
      <c r="V273" s="20">
        <f t="shared" ref="V273:V282" si="167">V272+U273</f>
        <v>-1459</v>
      </c>
      <c r="W273" s="143"/>
    </row>
    <row r="274" spans="1:23" ht="15.75" customHeight="1">
      <c r="A274" s="114"/>
      <c r="B274" s="106"/>
      <c r="C274" s="107"/>
      <c r="D274" s="26">
        <f t="shared" si="161"/>
        <v>-1459</v>
      </c>
      <c r="E274" s="117"/>
      <c r="F274" s="117"/>
      <c r="G274" s="45">
        <f t="shared" si="162"/>
        <v>-1459</v>
      </c>
      <c r="H274" s="106"/>
      <c r="I274" s="107"/>
      <c r="J274" s="26">
        <f t="shared" si="163"/>
        <v>-1459</v>
      </c>
      <c r="K274" s="133"/>
      <c r="L274" s="117"/>
      <c r="M274" s="57">
        <f t="shared" si="164"/>
        <v>-1459</v>
      </c>
      <c r="N274" s="116"/>
      <c r="O274" s="107"/>
      <c r="P274" s="26">
        <f t="shared" si="165"/>
        <v>-1459</v>
      </c>
      <c r="Q274" s="117"/>
      <c r="R274" s="117"/>
      <c r="S274" s="19">
        <f t="shared" si="166"/>
        <v>-1459</v>
      </c>
      <c r="T274" s="116"/>
      <c r="U274" s="116"/>
      <c r="V274" s="20">
        <f t="shared" si="167"/>
        <v>-1459</v>
      </c>
      <c r="W274" s="143"/>
    </row>
    <row r="275" spans="1:23" ht="15.75" customHeight="1">
      <c r="A275" s="114"/>
      <c r="B275" s="106"/>
      <c r="C275" s="107"/>
      <c r="D275" s="26">
        <f t="shared" si="161"/>
        <v>-1459</v>
      </c>
      <c r="E275" s="117"/>
      <c r="F275" s="117"/>
      <c r="G275" s="45">
        <f t="shared" si="162"/>
        <v>-1459</v>
      </c>
      <c r="H275" s="106"/>
      <c r="I275" s="107"/>
      <c r="J275" s="26">
        <f t="shared" si="163"/>
        <v>-1459</v>
      </c>
      <c r="K275" s="133"/>
      <c r="L275" s="117"/>
      <c r="M275" s="57">
        <f t="shared" si="164"/>
        <v>-1459</v>
      </c>
      <c r="N275" s="116"/>
      <c r="O275" s="107"/>
      <c r="P275" s="26">
        <f t="shared" si="165"/>
        <v>-1459</v>
      </c>
      <c r="Q275" s="117"/>
      <c r="R275" s="117"/>
      <c r="S275" s="19">
        <f t="shared" si="166"/>
        <v>-1459</v>
      </c>
      <c r="T275" s="116"/>
      <c r="U275" s="116"/>
      <c r="V275" s="20">
        <f t="shared" si="167"/>
        <v>-1459</v>
      </c>
      <c r="W275" s="143"/>
    </row>
    <row r="276" spans="1:23" ht="15.75" customHeight="1">
      <c r="A276" s="114"/>
      <c r="B276" s="106"/>
      <c r="C276" s="107"/>
      <c r="D276" s="26">
        <f t="shared" si="161"/>
        <v>-1459</v>
      </c>
      <c r="E276" s="117"/>
      <c r="F276" s="117"/>
      <c r="G276" s="45">
        <f t="shared" si="162"/>
        <v>-1459</v>
      </c>
      <c r="H276" s="106"/>
      <c r="I276" s="107"/>
      <c r="J276" s="26">
        <f t="shared" si="163"/>
        <v>-1459</v>
      </c>
      <c r="K276" s="133"/>
      <c r="L276" s="117"/>
      <c r="M276" s="57">
        <f t="shared" si="164"/>
        <v>-1459</v>
      </c>
      <c r="N276" s="116"/>
      <c r="O276" s="107"/>
      <c r="P276" s="26">
        <f t="shared" si="165"/>
        <v>-1459</v>
      </c>
      <c r="Q276" s="117"/>
      <c r="R276" s="117"/>
      <c r="S276" s="19">
        <f t="shared" si="166"/>
        <v>-1459</v>
      </c>
      <c r="T276" s="116"/>
      <c r="U276" s="116"/>
      <c r="V276" s="20">
        <f t="shared" si="167"/>
        <v>-1459</v>
      </c>
      <c r="W276" s="143"/>
    </row>
    <row r="277" spans="1:23" ht="15.75" customHeight="1">
      <c r="A277" s="114"/>
      <c r="B277" s="106"/>
      <c r="C277" s="107"/>
      <c r="D277" s="26">
        <f t="shared" si="161"/>
        <v>-1459</v>
      </c>
      <c r="E277" s="117"/>
      <c r="F277" s="117"/>
      <c r="G277" s="45">
        <f t="shared" si="162"/>
        <v>-1459</v>
      </c>
      <c r="H277" s="106"/>
      <c r="I277" s="107"/>
      <c r="J277" s="26">
        <f t="shared" si="163"/>
        <v>-1459</v>
      </c>
      <c r="K277" s="133"/>
      <c r="L277" s="117"/>
      <c r="M277" s="57">
        <f t="shared" si="164"/>
        <v>-1459</v>
      </c>
      <c r="N277" s="116"/>
      <c r="O277" s="107"/>
      <c r="P277" s="26">
        <f t="shared" si="165"/>
        <v>-1459</v>
      </c>
      <c r="Q277" s="117"/>
      <c r="R277" s="117"/>
      <c r="S277" s="19">
        <f t="shared" si="166"/>
        <v>-1459</v>
      </c>
      <c r="T277" s="116"/>
      <c r="U277" s="116"/>
      <c r="V277" s="20">
        <f t="shared" si="167"/>
        <v>-1459</v>
      </c>
      <c r="W277" s="143"/>
    </row>
    <row r="278" spans="1:23" ht="15.75" customHeight="1">
      <c r="A278" s="114"/>
      <c r="B278" s="106"/>
      <c r="C278" s="107"/>
      <c r="D278" s="26">
        <f t="shared" si="161"/>
        <v>-1459</v>
      </c>
      <c r="E278" s="117"/>
      <c r="F278" s="117"/>
      <c r="G278" s="45">
        <f t="shared" si="162"/>
        <v>-1459</v>
      </c>
      <c r="H278" s="106"/>
      <c r="I278" s="107"/>
      <c r="J278" s="26">
        <f t="shared" si="163"/>
        <v>-1459</v>
      </c>
      <c r="K278" s="133"/>
      <c r="L278" s="117"/>
      <c r="M278" s="57">
        <f t="shared" si="164"/>
        <v>-1459</v>
      </c>
      <c r="N278" s="116"/>
      <c r="O278" s="107"/>
      <c r="P278" s="26">
        <f t="shared" si="165"/>
        <v>-1459</v>
      </c>
      <c r="Q278" s="117"/>
      <c r="R278" s="117"/>
      <c r="S278" s="19">
        <f t="shared" si="166"/>
        <v>-1459</v>
      </c>
      <c r="T278" s="116"/>
      <c r="U278" s="116"/>
      <c r="V278" s="20">
        <f t="shared" si="167"/>
        <v>-1459</v>
      </c>
      <c r="W278" s="143"/>
    </row>
    <row r="279" spans="1:23" ht="15.75" customHeight="1">
      <c r="A279" s="114"/>
      <c r="B279" s="106"/>
      <c r="C279" s="107"/>
      <c r="D279" s="26">
        <f t="shared" si="161"/>
        <v>-1459</v>
      </c>
      <c r="E279" s="117"/>
      <c r="F279" s="117"/>
      <c r="G279" s="45">
        <f t="shared" si="162"/>
        <v>-1459</v>
      </c>
      <c r="H279" s="106"/>
      <c r="I279" s="107"/>
      <c r="J279" s="26">
        <f t="shared" si="163"/>
        <v>-1459</v>
      </c>
      <c r="K279" s="133"/>
      <c r="L279" s="117"/>
      <c r="M279" s="57">
        <f t="shared" si="164"/>
        <v>-1459</v>
      </c>
      <c r="N279" s="116"/>
      <c r="O279" s="107"/>
      <c r="P279" s="26">
        <f t="shared" si="165"/>
        <v>-1459</v>
      </c>
      <c r="Q279" s="117"/>
      <c r="R279" s="117"/>
      <c r="S279" s="19">
        <f t="shared" si="166"/>
        <v>-1459</v>
      </c>
      <c r="T279" s="116"/>
      <c r="U279" s="116"/>
      <c r="V279" s="20">
        <f t="shared" si="167"/>
        <v>-1459</v>
      </c>
      <c r="W279" s="143"/>
    </row>
    <row r="280" spans="1:23" ht="15.75" customHeight="1">
      <c r="A280" s="114"/>
      <c r="B280" s="122"/>
      <c r="C280" s="123"/>
      <c r="D280" s="26">
        <f t="shared" si="161"/>
        <v>-1459</v>
      </c>
      <c r="E280" s="117"/>
      <c r="F280" s="117"/>
      <c r="G280" s="45">
        <f t="shared" si="162"/>
        <v>-1459</v>
      </c>
      <c r="H280" s="122"/>
      <c r="I280" s="123"/>
      <c r="J280" s="26">
        <f t="shared" si="163"/>
        <v>-1459</v>
      </c>
      <c r="K280" s="133"/>
      <c r="L280" s="117"/>
      <c r="M280" s="57">
        <f t="shared" si="164"/>
        <v>-1459</v>
      </c>
      <c r="N280" s="116"/>
      <c r="O280" s="107"/>
      <c r="P280" s="26">
        <f t="shared" si="165"/>
        <v>-1459</v>
      </c>
      <c r="Q280" s="117"/>
      <c r="R280" s="117"/>
      <c r="S280" s="19">
        <f t="shared" si="166"/>
        <v>-1459</v>
      </c>
      <c r="T280" s="116"/>
      <c r="U280" s="116"/>
      <c r="V280" s="20">
        <f t="shared" si="167"/>
        <v>-1459</v>
      </c>
      <c r="W280" s="143"/>
    </row>
    <row r="281" spans="1:23" ht="15.75" customHeight="1">
      <c r="A281" s="114"/>
      <c r="B281" s="122"/>
      <c r="C281" s="123"/>
      <c r="D281" s="26">
        <f t="shared" si="161"/>
        <v>-1459</v>
      </c>
      <c r="E281" s="117"/>
      <c r="F281" s="117"/>
      <c r="G281" s="45">
        <f t="shared" si="162"/>
        <v>-1459</v>
      </c>
      <c r="H281" s="122"/>
      <c r="I281" s="123"/>
      <c r="J281" s="26">
        <f t="shared" si="163"/>
        <v>-1459</v>
      </c>
      <c r="K281" s="133"/>
      <c r="L281" s="117"/>
      <c r="M281" s="57">
        <f t="shared" si="164"/>
        <v>-1459</v>
      </c>
      <c r="N281" s="116"/>
      <c r="O281" s="123"/>
      <c r="P281" s="26">
        <f t="shared" si="165"/>
        <v>-1459</v>
      </c>
      <c r="Q281" s="117"/>
      <c r="R281" s="117"/>
      <c r="S281" s="19">
        <f t="shared" si="166"/>
        <v>-1459</v>
      </c>
      <c r="T281" s="124"/>
      <c r="U281" s="124"/>
      <c r="V281" s="20">
        <f t="shared" si="167"/>
        <v>-1459</v>
      </c>
      <c r="W281" s="143"/>
    </row>
    <row r="282" spans="1:23" ht="15.75" customHeight="1">
      <c r="A282" s="114"/>
      <c r="B282" s="122"/>
      <c r="C282" s="123"/>
      <c r="D282" s="39">
        <f t="shared" si="161"/>
        <v>-1459</v>
      </c>
      <c r="E282" s="128"/>
      <c r="F282" s="128"/>
      <c r="G282" s="46">
        <f t="shared" si="162"/>
        <v>-1459</v>
      </c>
      <c r="H282" s="122"/>
      <c r="I282" s="123"/>
      <c r="J282" s="39">
        <f t="shared" si="163"/>
        <v>-1459</v>
      </c>
      <c r="K282" s="140"/>
      <c r="L282" s="128"/>
      <c r="M282" s="58">
        <f t="shared" si="164"/>
        <v>-1459</v>
      </c>
      <c r="N282" s="124"/>
      <c r="O282" s="123"/>
      <c r="P282" s="39">
        <f t="shared" si="165"/>
        <v>-1459</v>
      </c>
      <c r="Q282" s="128"/>
      <c r="R282" s="128"/>
      <c r="S282" s="29">
        <f t="shared" si="166"/>
        <v>-1459</v>
      </c>
      <c r="T282" s="124"/>
      <c r="U282" s="123"/>
      <c r="V282" s="49">
        <f t="shared" si="167"/>
        <v>-1459</v>
      </c>
      <c r="W282" s="143"/>
    </row>
    <row r="283" spans="1:23" ht="15.75" customHeight="1">
      <c r="A283" s="87"/>
      <c r="B283" s="77">
        <f ca="1">IFERROR(__xludf.DUMMYFUNCTION("DATE(VALUE(LEFT($B$2,4)),VALUE(MID($B$2,6,2)),VALUE(RIGHT($B$2,2)))
+ (VALUE(REGEXEXTRACT(INDIRECT(""A""&amp;ROW()+1),""\d+""))-1)*7
+ INT((COLUMN()-COLUMN($B283))/3)
"),46915)</f>
        <v>46915</v>
      </c>
      <c r="C283" s="81"/>
      <c r="D283" s="82"/>
      <c r="E283" s="77">
        <f ca="1">IFERROR(__xludf.DUMMYFUNCTION("DATE(VALUE(LEFT($B$2,4)),VALUE(MID($B$2,6,2)),VALUE(RIGHT($B$2,2)))
+ (VALUE(REGEXEXTRACT(INDIRECT(""A""&amp;ROW()+1),""\d+""))-1)*7
+ INT((COLUMN()-COLUMN($B283))/3)
"),46916)</f>
        <v>46916</v>
      </c>
      <c r="F283" s="81"/>
      <c r="G283" s="82"/>
      <c r="H283" s="77">
        <f ca="1">IFERROR(__xludf.DUMMYFUNCTION("DATE(VALUE(LEFT($B$2,4)),VALUE(MID($B$2,6,2)),VALUE(RIGHT($B$2,2)))
+ (VALUE(REGEXEXTRACT(INDIRECT(""A""&amp;ROW()+1),""\d+""))-1)*7
+ INT((COLUMN()-COLUMN($B283))/3)
"),46917)</f>
        <v>46917</v>
      </c>
      <c r="I283" s="81"/>
      <c r="J283" s="82"/>
      <c r="K283" s="77">
        <f ca="1">IFERROR(__xludf.DUMMYFUNCTION("DATE(VALUE(LEFT($B$2,4)),VALUE(MID($B$2,6,2)),VALUE(RIGHT($B$2,2)))
+ (VALUE(REGEXEXTRACT(INDIRECT(""A""&amp;ROW()+1),""\d+""))-1)*7
+ INT((COLUMN()-COLUMN($B283))/3)
"),46918)</f>
        <v>46918</v>
      </c>
      <c r="L283" s="81"/>
      <c r="M283" s="82"/>
      <c r="N283" s="77">
        <f ca="1">IFERROR(__xludf.DUMMYFUNCTION("DATE(VALUE(LEFT($B$2,4)),VALUE(MID($B$2,6,2)),VALUE(RIGHT($B$2,2)))
+ (VALUE(REGEXEXTRACT(INDIRECT(""A""&amp;ROW()+1),""\d+""))-1)*7
+ INT((COLUMN()-COLUMN($B283))/3)
"),46919)</f>
        <v>46919</v>
      </c>
      <c r="O283" s="81"/>
      <c r="P283" s="82"/>
      <c r="Q283" s="77">
        <f ca="1">IFERROR(__xludf.DUMMYFUNCTION("DATE(VALUE(LEFT($B$2,4)),VALUE(MID($B$2,6,2)),VALUE(RIGHT($B$2,2)))
+ (VALUE(REGEXEXTRACT(INDIRECT(""A""&amp;ROW()+1),""\d+""))-1)*7
+ INT((COLUMN()-COLUMN($B283))/3)
"),46920)</f>
        <v>46920</v>
      </c>
      <c r="R283" s="81"/>
      <c r="S283" s="82"/>
      <c r="T283" s="77">
        <f ca="1">IFERROR(__xludf.DUMMYFUNCTION("DATE(VALUE(LEFT($B$2,4)),VALUE(MID($B$2,6,2)),VALUE(RIGHT($B$2,2)))
+ (VALUE(REGEXEXTRACT(INDIRECT(""A""&amp;ROW()+1),""\d+""))-1)*7
+ INT((COLUMN()-COLUMN($B283))/3)
"),46921)</f>
        <v>46921</v>
      </c>
      <c r="U283" s="81"/>
      <c r="V283" s="82"/>
      <c r="W283" s="52" t="s">
        <v>20</v>
      </c>
    </row>
    <row r="284" spans="1:23" ht="15.75" customHeight="1">
      <c r="A284" s="47" t="s">
        <v>153</v>
      </c>
      <c r="B284" s="109"/>
      <c r="C284" s="109"/>
      <c r="D284" s="42">
        <f>V282+C284</f>
        <v>-1459</v>
      </c>
      <c r="E284" s="112"/>
      <c r="F284" s="111"/>
      <c r="G284" s="48">
        <f>D294+F284</f>
        <v>-1459</v>
      </c>
      <c r="H284" s="113"/>
      <c r="I284" s="109"/>
      <c r="J284" s="42">
        <f>G294+I284</f>
        <v>-1459</v>
      </c>
      <c r="K284" s="110"/>
      <c r="L284" s="111"/>
      <c r="M284" s="18">
        <f>J294+L284</f>
        <v>-1459</v>
      </c>
      <c r="N284" s="113"/>
      <c r="O284" s="109"/>
      <c r="P284" s="35">
        <f>M294+O284</f>
        <v>-1459</v>
      </c>
      <c r="Q284" s="112"/>
      <c r="R284" s="111"/>
      <c r="S284" s="36">
        <f>P294+R284</f>
        <v>-1459</v>
      </c>
      <c r="T284" s="176"/>
      <c r="U284" s="173"/>
      <c r="V284" s="50">
        <f>S294+U284</f>
        <v>-1459</v>
      </c>
      <c r="W284" s="172"/>
    </row>
    <row r="285" spans="1:23" ht="15.75" customHeight="1">
      <c r="A285" s="114"/>
      <c r="B285" s="117"/>
      <c r="C285" s="117"/>
      <c r="D285" s="19">
        <f t="shared" ref="D285:D294" si="168">D284+C285</f>
        <v>-1459</v>
      </c>
      <c r="E285" s="106"/>
      <c r="F285" s="107"/>
      <c r="G285" s="20">
        <f t="shared" ref="G285:G294" si="169">G284+F285</f>
        <v>-1459</v>
      </c>
      <c r="H285" s="118"/>
      <c r="I285" s="117"/>
      <c r="J285" s="19">
        <f t="shared" ref="J285:J294" si="170">J284+I285</f>
        <v>-1459</v>
      </c>
      <c r="K285" s="116"/>
      <c r="L285" s="107"/>
      <c r="M285" s="26">
        <f t="shared" ref="M285:M294" si="171">M284+L285</f>
        <v>-1459</v>
      </c>
      <c r="N285" s="118"/>
      <c r="O285" s="117"/>
      <c r="P285" s="38">
        <f t="shared" ref="P285:P294" si="172">P284+O285</f>
        <v>-1459</v>
      </c>
      <c r="Q285" s="106"/>
      <c r="R285" s="107"/>
      <c r="S285" s="26">
        <f t="shared" ref="S285:S294" si="173">S284+R285</f>
        <v>-1459</v>
      </c>
      <c r="T285" s="177"/>
      <c r="U285" s="136"/>
      <c r="V285" s="45">
        <f t="shared" ref="V285:V294" si="174">V284+U285</f>
        <v>-1459</v>
      </c>
      <c r="W285" s="143"/>
    </row>
    <row r="286" spans="1:23" ht="15.75" customHeight="1">
      <c r="A286" s="114"/>
      <c r="B286" s="117"/>
      <c r="C286" s="117"/>
      <c r="D286" s="19">
        <f t="shared" si="168"/>
        <v>-1459</v>
      </c>
      <c r="E286" s="106"/>
      <c r="F286" s="107"/>
      <c r="G286" s="20">
        <f t="shared" si="169"/>
        <v>-1459</v>
      </c>
      <c r="H286" s="118"/>
      <c r="I286" s="117"/>
      <c r="J286" s="19">
        <f t="shared" si="170"/>
        <v>-1459</v>
      </c>
      <c r="K286" s="116"/>
      <c r="L286" s="107"/>
      <c r="M286" s="26">
        <f t="shared" si="171"/>
        <v>-1459</v>
      </c>
      <c r="N286" s="117"/>
      <c r="O286" s="117"/>
      <c r="P286" s="38">
        <f t="shared" si="172"/>
        <v>-1459</v>
      </c>
      <c r="Q286" s="106"/>
      <c r="R286" s="107"/>
      <c r="S286" s="26">
        <f t="shared" si="173"/>
        <v>-1459</v>
      </c>
      <c r="T286" s="177"/>
      <c r="U286" s="136"/>
      <c r="V286" s="45">
        <f t="shared" si="174"/>
        <v>-1459</v>
      </c>
      <c r="W286" s="143"/>
    </row>
    <row r="287" spans="1:23" ht="15.75" customHeight="1">
      <c r="A287" s="114"/>
      <c r="B287" s="117"/>
      <c r="C287" s="117"/>
      <c r="D287" s="19">
        <f t="shared" si="168"/>
        <v>-1459</v>
      </c>
      <c r="E287" s="106"/>
      <c r="F287" s="107"/>
      <c r="G287" s="20">
        <f t="shared" si="169"/>
        <v>-1459</v>
      </c>
      <c r="H287" s="118"/>
      <c r="I287" s="117"/>
      <c r="J287" s="19">
        <f t="shared" si="170"/>
        <v>-1459</v>
      </c>
      <c r="K287" s="116"/>
      <c r="L287" s="107"/>
      <c r="M287" s="26">
        <f t="shared" si="171"/>
        <v>-1459</v>
      </c>
      <c r="N287" s="117"/>
      <c r="O287" s="117"/>
      <c r="P287" s="38">
        <f t="shared" si="172"/>
        <v>-1459</v>
      </c>
      <c r="Q287" s="106"/>
      <c r="R287" s="107"/>
      <c r="S287" s="26">
        <f t="shared" si="173"/>
        <v>-1459</v>
      </c>
      <c r="T287" s="177"/>
      <c r="U287" s="136"/>
      <c r="V287" s="45">
        <f t="shared" si="174"/>
        <v>-1459</v>
      </c>
      <c r="W287" s="143"/>
    </row>
    <row r="288" spans="1:23" ht="15.75" customHeight="1">
      <c r="A288" s="114"/>
      <c r="B288" s="117"/>
      <c r="C288" s="117"/>
      <c r="D288" s="19">
        <f t="shared" si="168"/>
        <v>-1459</v>
      </c>
      <c r="E288" s="106"/>
      <c r="F288" s="107"/>
      <c r="G288" s="20">
        <f t="shared" si="169"/>
        <v>-1459</v>
      </c>
      <c r="H288" s="118"/>
      <c r="I288" s="117"/>
      <c r="J288" s="19">
        <f t="shared" si="170"/>
        <v>-1459</v>
      </c>
      <c r="K288" s="116"/>
      <c r="L288" s="107"/>
      <c r="M288" s="26">
        <f t="shared" si="171"/>
        <v>-1459</v>
      </c>
      <c r="N288" s="117"/>
      <c r="O288" s="117"/>
      <c r="P288" s="38">
        <f t="shared" si="172"/>
        <v>-1459</v>
      </c>
      <c r="Q288" s="106"/>
      <c r="R288" s="107"/>
      <c r="S288" s="26">
        <f t="shared" si="173"/>
        <v>-1459</v>
      </c>
      <c r="T288" s="177"/>
      <c r="U288" s="136"/>
      <c r="V288" s="45">
        <f t="shared" si="174"/>
        <v>-1459</v>
      </c>
      <c r="W288" s="143"/>
    </row>
    <row r="289" spans="1:23" ht="15.75" customHeight="1">
      <c r="A289" s="114"/>
      <c r="B289" s="118"/>
      <c r="C289" s="117"/>
      <c r="D289" s="19">
        <f t="shared" si="168"/>
        <v>-1459</v>
      </c>
      <c r="E289" s="106"/>
      <c r="F289" s="107"/>
      <c r="G289" s="20">
        <f t="shared" si="169"/>
        <v>-1459</v>
      </c>
      <c r="H289" s="118"/>
      <c r="I289" s="117"/>
      <c r="J289" s="19">
        <f t="shared" si="170"/>
        <v>-1459</v>
      </c>
      <c r="K289" s="116"/>
      <c r="L289" s="107"/>
      <c r="M289" s="26">
        <f t="shared" si="171"/>
        <v>-1459</v>
      </c>
      <c r="N289" s="117"/>
      <c r="O289" s="117"/>
      <c r="P289" s="38">
        <f t="shared" si="172"/>
        <v>-1459</v>
      </c>
      <c r="Q289" s="106"/>
      <c r="R289" s="107"/>
      <c r="S289" s="26">
        <f t="shared" si="173"/>
        <v>-1459</v>
      </c>
      <c r="T289" s="177"/>
      <c r="U289" s="136"/>
      <c r="V289" s="45">
        <f t="shared" si="174"/>
        <v>-1459</v>
      </c>
      <c r="W289" s="143"/>
    </row>
    <row r="290" spans="1:23" ht="15.75" customHeight="1">
      <c r="A290" s="114"/>
      <c r="B290" s="117"/>
      <c r="C290" s="117"/>
      <c r="D290" s="19">
        <f t="shared" si="168"/>
        <v>-1459</v>
      </c>
      <c r="E290" s="106"/>
      <c r="F290" s="107"/>
      <c r="G290" s="20">
        <f t="shared" si="169"/>
        <v>-1459</v>
      </c>
      <c r="H290" s="118"/>
      <c r="I290" s="117"/>
      <c r="J290" s="19">
        <f t="shared" si="170"/>
        <v>-1459</v>
      </c>
      <c r="K290" s="116"/>
      <c r="L290" s="107"/>
      <c r="M290" s="26">
        <f t="shared" si="171"/>
        <v>-1459</v>
      </c>
      <c r="N290" s="117"/>
      <c r="O290" s="117"/>
      <c r="P290" s="38">
        <f t="shared" si="172"/>
        <v>-1459</v>
      </c>
      <c r="Q290" s="106"/>
      <c r="R290" s="107"/>
      <c r="S290" s="26">
        <f t="shared" si="173"/>
        <v>-1459</v>
      </c>
      <c r="T290" s="177"/>
      <c r="U290" s="136"/>
      <c r="V290" s="45">
        <f t="shared" si="174"/>
        <v>-1459</v>
      </c>
      <c r="W290" s="143"/>
    </row>
    <row r="291" spans="1:23" ht="15.75" customHeight="1">
      <c r="A291" s="114"/>
      <c r="B291" s="117"/>
      <c r="C291" s="117"/>
      <c r="D291" s="19">
        <f t="shared" si="168"/>
        <v>-1459</v>
      </c>
      <c r="E291" s="106"/>
      <c r="F291" s="107"/>
      <c r="G291" s="20">
        <f t="shared" si="169"/>
        <v>-1459</v>
      </c>
      <c r="H291" s="118"/>
      <c r="I291" s="117"/>
      <c r="J291" s="19">
        <f t="shared" si="170"/>
        <v>-1459</v>
      </c>
      <c r="K291" s="116"/>
      <c r="L291" s="107"/>
      <c r="M291" s="26">
        <f t="shared" si="171"/>
        <v>-1459</v>
      </c>
      <c r="N291" s="117"/>
      <c r="O291" s="117"/>
      <c r="P291" s="38">
        <f t="shared" si="172"/>
        <v>-1459</v>
      </c>
      <c r="Q291" s="106"/>
      <c r="R291" s="107"/>
      <c r="S291" s="26">
        <f t="shared" si="173"/>
        <v>-1459</v>
      </c>
      <c r="T291" s="177"/>
      <c r="U291" s="136"/>
      <c r="V291" s="45">
        <f t="shared" si="174"/>
        <v>-1459</v>
      </c>
      <c r="W291" s="143"/>
    </row>
    <row r="292" spans="1:23" ht="15.75" customHeight="1">
      <c r="A292" s="114"/>
      <c r="B292" s="117"/>
      <c r="C292" s="117"/>
      <c r="D292" s="19">
        <f t="shared" si="168"/>
        <v>-1459</v>
      </c>
      <c r="E292" s="106"/>
      <c r="F292" s="107"/>
      <c r="G292" s="20">
        <f t="shared" si="169"/>
        <v>-1459</v>
      </c>
      <c r="H292" s="118"/>
      <c r="I292" s="117"/>
      <c r="J292" s="19">
        <f t="shared" si="170"/>
        <v>-1459</v>
      </c>
      <c r="K292" s="116"/>
      <c r="L292" s="107"/>
      <c r="M292" s="26">
        <f t="shared" si="171"/>
        <v>-1459</v>
      </c>
      <c r="N292" s="117"/>
      <c r="O292" s="117"/>
      <c r="P292" s="38">
        <f t="shared" si="172"/>
        <v>-1459</v>
      </c>
      <c r="Q292" s="106"/>
      <c r="R292" s="107"/>
      <c r="S292" s="26">
        <f t="shared" si="173"/>
        <v>-1459</v>
      </c>
      <c r="T292" s="177"/>
      <c r="U292" s="136"/>
      <c r="V292" s="45">
        <f t="shared" si="174"/>
        <v>-1459</v>
      </c>
      <c r="W292" s="143"/>
    </row>
    <row r="293" spans="1:23" ht="15.75" customHeight="1">
      <c r="A293" s="114"/>
      <c r="B293" s="117"/>
      <c r="C293" s="117"/>
      <c r="D293" s="19">
        <f t="shared" si="168"/>
        <v>-1459</v>
      </c>
      <c r="E293" s="122"/>
      <c r="F293" s="123"/>
      <c r="G293" s="20">
        <f t="shared" si="169"/>
        <v>-1459</v>
      </c>
      <c r="H293" s="118"/>
      <c r="I293" s="117"/>
      <c r="J293" s="19">
        <f t="shared" si="170"/>
        <v>-1459</v>
      </c>
      <c r="K293" s="124"/>
      <c r="L293" s="123"/>
      <c r="M293" s="26">
        <f t="shared" si="171"/>
        <v>-1459</v>
      </c>
      <c r="N293" s="117"/>
      <c r="O293" s="117"/>
      <c r="P293" s="38">
        <f t="shared" si="172"/>
        <v>-1459</v>
      </c>
      <c r="Q293" s="122"/>
      <c r="R293" s="123"/>
      <c r="S293" s="26">
        <f t="shared" si="173"/>
        <v>-1459</v>
      </c>
      <c r="T293" s="177"/>
      <c r="U293" s="136"/>
      <c r="V293" s="45">
        <f t="shared" si="174"/>
        <v>-1459</v>
      </c>
      <c r="W293" s="143"/>
    </row>
    <row r="294" spans="1:23" ht="15.75" customHeight="1">
      <c r="A294" s="114"/>
      <c r="B294" s="128"/>
      <c r="C294" s="128"/>
      <c r="D294" s="29">
        <f t="shared" si="168"/>
        <v>-1459</v>
      </c>
      <c r="E294" s="122"/>
      <c r="F294" s="123"/>
      <c r="G294" s="49">
        <f t="shared" si="169"/>
        <v>-1459</v>
      </c>
      <c r="H294" s="154"/>
      <c r="I294" s="128"/>
      <c r="J294" s="29">
        <f t="shared" si="170"/>
        <v>-1459</v>
      </c>
      <c r="K294" s="124"/>
      <c r="L294" s="123"/>
      <c r="M294" s="39">
        <f t="shared" si="171"/>
        <v>-1459</v>
      </c>
      <c r="N294" s="128"/>
      <c r="O294" s="128"/>
      <c r="P294" s="40">
        <f t="shared" si="172"/>
        <v>-1459</v>
      </c>
      <c r="Q294" s="122"/>
      <c r="R294" s="123"/>
      <c r="S294" s="39">
        <f t="shared" si="173"/>
        <v>-1459</v>
      </c>
      <c r="T294" s="178"/>
      <c r="U294" s="141"/>
      <c r="V294" s="46">
        <f t="shared" si="174"/>
        <v>-1459</v>
      </c>
      <c r="W294" s="143"/>
    </row>
    <row r="295" spans="1:23" ht="15.75" customHeight="1">
      <c r="A295" s="87"/>
      <c r="B295" s="77">
        <f ca="1">IFERROR(__xludf.DUMMYFUNCTION("DATE(VALUE(LEFT($B$2,4)),VALUE(MID($B$2,6,2)),VALUE(RIGHT($B$2,2)))
+ (VALUE(REGEXEXTRACT(INDIRECT(""A""&amp;ROW()+1),""\d+""))-1)*7
+ INT((COLUMN()-COLUMN($B295))/3)
"),46922)</f>
        <v>46922</v>
      </c>
      <c r="C295" s="81"/>
      <c r="D295" s="82"/>
      <c r="E295" s="77">
        <f ca="1">IFERROR(__xludf.DUMMYFUNCTION("DATE(VALUE(LEFT($B$2,4)),VALUE(MID($B$2,6,2)),VALUE(RIGHT($B$2,2)))
+ (VALUE(REGEXEXTRACT(INDIRECT(""A""&amp;ROW()+1),""\d+""))-1)*7
+ INT((COLUMN()-COLUMN($B295))/3)
"),46923)</f>
        <v>46923</v>
      </c>
      <c r="F295" s="81"/>
      <c r="G295" s="82"/>
      <c r="H295" s="77">
        <f ca="1">IFERROR(__xludf.DUMMYFUNCTION("DATE(VALUE(LEFT($B$2,4)),VALUE(MID($B$2,6,2)),VALUE(RIGHT($B$2,2)))
+ (VALUE(REGEXEXTRACT(INDIRECT(""A""&amp;ROW()+1),""\d+""))-1)*7
+ INT((COLUMN()-COLUMN($B295))/3)
"),46924)</f>
        <v>46924</v>
      </c>
      <c r="I295" s="81"/>
      <c r="J295" s="82"/>
      <c r="K295" s="77">
        <f ca="1">IFERROR(__xludf.DUMMYFUNCTION("DATE(VALUE(LEFT($B$2,4)),VALUE(MID($B$2,6,2)),VALUE(RIGHT($B$2,2)))
+ (VALUE(REGEXEXTRACT(INDIRECT(""A""&amp;ROW()+1),""\d+""))-1)*7
+ INT((COLUMN()-COLUMN($B295))/3)
"),46925)</f>
        <v>46925</v>
      </c>
      <c r="L295" s="81"/>
      <c r="M295" s="82"/>
      <c r="N295" s="77">
        <f ca="1">IFERROR(__xludf.DUMMYFUNCTION("DATE(VALUE(LEFT($B$2,4)),VALUE(MID($B$2,6,2)),VALUE(RIGHT($B$2,2)))
+ (VALUE(REGEXEXTRACT(INDIRECT(""A""&amp;ROW()+1),""\d+""))-1)*7
+ INT((COLUMN()-COLUMN($B295))/3)
"),46926)</f>
        <v>46926</v>
      </c>
      <c r="O295" s="81"/>
      <c r="P295" s="82"/>
      <c r="Q295" s="77">
        <f ca="1">IFERROR(__xludf.DUMMYFUNCTION("DATE(VALUE(LEFT($B$2,4)),VALUE(MID($B$2,6,2)),VALUE(RIGHT($B$2,2)))
+ (VALUE(REGEXEXTRACT(INDIRECT(""A""&amp;ROW()+1),""\d+""))-1)*7
+ INT((COLUMN()-COLUMN($B295))/3)
"),46927)</f>
        <v>46927</v>
      </c>
      <c r="R295" s="81"/>
      <c r="S295" s="82"/>
      <c r="T295" s="77">
        <f ca="1">IFERROR(__xludf.DUMMYFUNCTION("DATE(VALUE(LEFT($B$2,4)),VALUE(MID($B$2,6,2)),VALUE(RIGHT($B$2,2)))
+ (VALUE(REGEXEXTRACT(INDIRECT(""A""&amp;ROW()+1),""\d+""))-1)*7
+ INT((COLUMN()-COLUMN($B295))/3)
"),46928)</f>
        <v>46928</v>
      </c>
      <c r="U295" s="81"/>
      <c r="V295" s="82"/>
      <c r="W295" s="143"/>
    </row>
    <row r="296" spans="1:23" ht="15.75" customHeight="1">
      <c r="A296" s="51" t="s">
        <v>154</v>
      </c>
      <c r="B296" s="112"/>
      <c r="C296" s="111"/>
      <c r="D296" s="17">
        <f>V294+C296</f>
        <v>-1459</v>
      </c>
      <c r="E296" s="109"/>
      <c r="F296" s="109"/>
      <c r="G296" s="42">
        <f>D306+F296</f>
        <v>-1459</v>
      </c>
      <c r="H296" s="112"/>
      <c r="I296" s="111"/>
      <c r="J296" s="17">
        <f>G306+I296</f>
        <v>-1459</v>
      </c>
      <c r="K296" s="109"/>
      <c r="L296" s="109"/>
      <c r="M296" s="35">
        <f>J306+L296</f>
        <v>-1459</v>
      </c>
      <c r="N296" s="112"/>
      <c r="O296" s="111"/>
      <c r="P296" s="17">
        <f>M306+O296</f>
        <v>-1459</v>
      </c>
      <c r="Q296" s="109"/>
      <c r="R296" s="109"/>
      <c r="S296" s="42">
        <f>P306+R296</f>
        <v>-1459</v>
      </c>
      <c r="T296" s="110"/>
      <c r="U296" s="111"/>
      <c r="V296" s="48">
        <f>S306+U296</f>
        <v>-1459</v>
      </c>
      <c r="W296" s="143"/>
    </row>
    <row r="297" spans="1:23" ht="15.75" customHeight="1">
      <c r="A297" s="114"/>
      <c r="B297" s="106"/>
      <c r="C297" s="107"/>
      <c r="D297" s="26">
        <f t="shared" ref="D297:D306" si="175">D296+C297</f>
        <v>-1459</v>
      </c>
      <c r="E297" s="117"/>
      <c r="F297" s="117"/>
      <c r="G297" s="19">
        <f t="shared" ref="G297:G306" si="176">G296+F297</f>
        <v>-1459</v>
      </c>
      <c r="H297" s="106"/>
      <c r="I297" s="107"/>
      <c r="J297" s="26">
        <f t="shared" ref="J297:J306" si="177">J296+I297</f>
        <v>-1459</v>
      </c>
      <c r="K297" s="117"/>
      <c r="L297" s="117"/>
      <c r="M297" s="38">
        <f t="shared" ref="M297:M306" si="178">M296+L297</f>
        <v>-1459</v>
      </c>
      <c r="N297" s="106"/>
      <c r="O297" s="107"/>
      <c r="P297" s="26">
        <f t="shared" ref="P297:P306" si="179">P296+O297</f>
        <v>-1459</v>
      </c>
      <c r="Q297" s="117"/>
      <c r="R297" s="117"/>
      <c r="S297" s="19">
        <f t="shared" ref="S297:S306" si="180">S296+R297</f>
        <v>-1459</v>
      </c>
      <c r="T297" s="106"/>
      <c r="U297" s="107"/>
      <c r="V297" s="20">
        <f t="shared" ref="V297:V306" si="181">V296+U297</f>
        <v>-1459</v>
      </c>
      <c r="W297" s="143"/>
    </row>
    <row r="298" spans="1:23" ht="15.75" customHeight="1">
      <c r="A298" s="114"/>
      <c r="B298" s="106"/>
      <c r="C298" s="107"/>
      <c r="D298" s="26">
        <f t="shared" si="175"/>
        <v>-1459</v>
      </c>
      <c r="E298" s="117"/>
      <c r="F298" s="117"/>
      <c r="G298" s="19">
        <f t="shared" si="176"/>
        <v>-1459</v>
      </c>
      <c r="H298" s="106"/>
      <c r="I298" s="107"/>
      <c r="J298" s="26">
        <f t="shared" si="177"/>
        <v>-1459</v>
      </c>
      <c r="K298" s="117"/>
      <c r="L298" s="117"/>
      <c r="M298" s="38">
        <f t="shared" si="178"/>
        <v>-1459</v>
      </c>
      <c r="N298" s="106"/>
      <c r="O298" s="107"/>
      <c r="P298" s="26">
        <f t="shared" si="179"/>
        <v>-1459</v>
      </c>
      <c r="Q298" s="117"/>
      <c r="R298" s="117"/>
      <c r="S298" s="19">
        <f t="shared" si="180"/>
        <v>-1459</v>
      </c>
      <c r="T298" s="106"/>
      <c r="U298" s="107"/>
      <c r="V298" s="20">
        <f t="shared" si="181"/>
        <v>-1459</v>
      </c>
      <c r="W298" s="143"/>
    </row>
    <row r="299" spans="1:23" ht="15.75" customHeight="1">
      <c r="A299" s="114"/>
      <c r="B299" s="106"/>
      <c r="C299" s="107"/>
      <c r="D299" s="26">
        <f t="shared" si="175"/>
        <v>-1459</v>
      </c>
      <c r="E299" s="117"/>
      <c r="F299" s="117"/>
      <c r="G299" s="19">
        <f t="shared" si="176"/>
        <v>-1459</v>
      </c>
      <c r="H299" s="106"/>
      <c r="I299" s="107"/>
      <c r="J299" s="26">
        <f t="shared" si="177"/>
        <v>-1459</v>
      </c>
      <c r="K299" s="117"/>
      <c r="L299" s="117"/>
      <c r="M299" s="38">
        <f t="shared" si="178"/>
        <v>-1459</v>
      </c>
      <c r="N299" s="106"/>
      <c r="O299" s="107"/>
      <c r="P299" s="26">
        <f t="shared" si="179"/>
        <v>-1459</v>
      </c>
      <c r="Q299" s="117"/>
      <c r="R299" s="117"/>
      <c r="S299" s="19">
        <f t="shared" si="180"/>
        <v>-1459</v>
      </c>
      <c r="T299" s="116"/>
      <c r="U299" s="116"/>
      <c r="V299" s="20">
        <f t="shared" si="181"/>
        <v>-1459</v>
      </c>
      <c r="W299" s="143"/>
    </row>
    <row r="300" spans="1:23" ht="15.75" customHeight="1">
      <c r="A300" s="114"/>
      <c r="B300" s="106"/>
      <c r="C300" s="107"/>
      <c r="D300" s="26">
        <f t="shared" si="175"/>
        <v>-1459</v>
      </c>
      <c r="E300" s="117"/>
      <c r="F300" s="117"/>
      <c r="G300" s="19">
        <f t="shared" si="176"/>
        <v>-1459</v>
      </c>
      <c r="H300" s="106"/>
      <c r="I300" s="107"/>
      <c r="J300" s="26">
        <f t="shared" si="177"/>
        <v>-1459</v>
      </c>
      <c r="K300" s="117"/>
      <c r="L300" s="117"/>
      <c r="M300" s="38">
        <f t="shared" si="178"/>
        <v>-1459</v>
      </c>
      <c r="N300" s="106"/>
      <c r="O300" s="107"/>
      <c r="P300" s="26">
        <f t="shared" si="179"/>
        <v>-1459</v>
      </c>
      <c r="Q300" s="117"/>
      <c r="R300" s="117"/>
      <c r="S300" s="19">
        <f t="shared" si="180"/>
        <v>-1459</v>
      </c>
      <c r="T300" s="116"/>
      <c r="U300" s="116"/>
      <c r="V300" s="20">
        <f t="shared" si="181"/>
        <v>-1459</v>
      </c>
      <c r="W300" s="143"/>
    </row>
    <row r="301" spans="1:23" ht="15.75" customHeight="1">
      <c r="A301" s="114"/>
      <c r="B301" s="106"/>
      <c r="C301" s="107"/>
      <c r="D301" s="26">
        <f t="shared" si="175"/>
        <v>-1459</v>
      </c>
      <c r="E301" s="117"/>
      <c r="F301" s="117"/>
      <c r="G301" s="19">
        <f t="shared" si="176"/>
        <v>-1459</v>
      </c>
      <c r="H301" s="106"/>
      <c r="I301" s="107"/>
      <c r="J301" s="26">
        <f t="shared" si="177"/>
        <v>-1459</v>
      </c>
      <c r="K301" s="117"/>
      <c r="L301" s="117"/>
      <c r="M301" s="38">
        <f t="shared" si="178"/>
        <v>-1459</v>
      </c>
      <c r="N301" s="106"/>
      <c r="O301" s="107"/>
      <c r="P301" s="26">
        <f t="shared" si="179"/>
        <v>-1459</v>
      </c>
      <c r="Q301" s="117"/>
      <c r="R301" s="117"/>
      <c r="S301" s="19">
        <f t="shared" si="180"/>
        <v>-1459</v>
      </c>
      <c r="T301" s="116"/>
      <c r="U301" s="116"/>
      <c r="V301" s="20">
        <f t="shared" si="181"/>
        <v>-1459</v>
      </c>
      <c r="W301" s="143"/>
    </row>
    <row r="302" spans="1:23" ht="15.75" customHeight="1">
      <c r="A302" s="114"/>
      <c r="B302" s="106"/>
      <c r="C302" s="107"/>
      <c r="D302" s="26">
        <f t="shared" si="175"/>
        <v>-1459</v>
      </c>
      <c r="E302" s="117"/>
      <c r="F302" s="117"/>
      <c r="G302" s="19">
        <f t="shared" si="176"/>
        <v>-1459</v>
      </c>
      <c r="H302" s="106"/>
      <c r="I302" s="107"/>
      <c r="J302" s="26">
        <f t="shared" si="177"/>
        <v>-1459</v>
      </c>
      <c r="K302" s="117"/>
      <c r="L302" s="117"/>
      <c r="M302" s="38">
        <f t="shared" si="178"/>
        <v>-1459</v>
      </c>
      <c r="N302" s="106"/>
      <c r="O302" s="107"/>
      <c r="P302" s="26">
        <f t="shared" si="179"/>
        <v>-1459</v>
      </c>
      <c r="Q302" s="117"/>
      <c r="R302" s="117"/>
      <c r="S302" s="19">
        <f t="shared" si="180"/>
        <v>-1459</v>
      </c>
      <c r="T302" s="116"/>
      <c r="U302" s="116"/>
      <c r="V302" s="20">
        <f t="shared" si="181"/>
        <v>-1459</v>
      </c>
      <c r="W302" s="143"/>
    </row>
    <row r="303" spans="1:23" ht="15.75" customHeight="1">
      <c r="A303" s="114"/>
      <c r="B303" s="106"/>
      <c r="C303" s="107"/>
      <c r="D303" s="26">
        <f t="shared" si="175"/>
        <v>-1459</v>
      </c>
      <c r="E303" s="117"/>
      <c r="F303" s="117"/>
      <c r="G303" s="19">
        <f t="shared" si="176"/>
        <v>-1459</v>
      </c>
      <c r="H303" s="106"/>
      <c r="I303" s="107"/>
      <c r="J303" s="26">
        <f t="shared" si="177"/>
        <v>-1459</v>
      </c>
      <c r="K303" s="117"/>
      <c r="L303" s="117"/>
      <c r="M303" s="38">
        <f t="shared" si="178"/>
        <v>-1459</v>
      </c>
      <c r="N303" s="106"/>
      <c r="O303" s="107"/>
      <c r="P303" s="26">
        <f t="shared" si="179"/>
        <v>-1459</v>
      </c>
      <c r="Q303" s="117"/>
      <c r="R303" s="117"/>
      <c r="S303" s="19">
        <f t="shared" si="180"/>
        <v>-1459</v>
      </c>
      <c r="T303" s="116"/>
      <c r="U303" s="116"/>
      <c r="V303" s="20">
        <f t="shared" si="181"/>
        <v>-1459</v>
      </c>
      <c r="W303" s="143"/>
    </row>
    <row r="304" spans="1:23" ht="15.75" customHeight="1">
      <c r="A304" s="114"/>
      <c r="B304" s="122"/>
      <c r="C304" s="123"/>
      <c r="D304" s="26">
        <f t="shared" si="175"/>
        <v>-1459</v>
      </c>
      <c r="E304" s="117"/>
      <c r="F304" s="117"/>
      <c r="G304" s="19">
        <f t="shared" si="176"/>
        <v>-1459</v>
      </c>
      <c r="H304" s="122"/>
      <c r="I304" s="123"/>
      <c r="J304" s="26">
        <f t="shared" si="177"/>
        <v>-1459</v>
      </c>
      <c r="K304" s="117"/>
      <c r="L304" s="117"/>
      <c r="M304" s="38">
        <f t="shared" si="178"/>
        <v>-1459</v>
      </c>
      <c r="N304" s="122"/>
      <c r="O304" s="123"/>
      <c r="P304" s="26">
        <f t="shared" si="179"/>
        <v>-1459</v>
      </c>
      <c r="Q304" s="117"/>
      <c r="R304" s="117"/>
      <c r="S304" s="19">
        <f t="shared" si="180"/>
        <v>-1459</v>
      </c>
      <c r="T304" s="116"/>
      <c r="U304" s="116"/>
      <c r="V304" s="20">
        <f t="shared" si="181"/>
        <v>-1459</v>
      </c>
      <c r="W304" s="143"/>
    </row>
    <row r="305" spans="1:23" ht="15.75" customHeight="1">
      <c r="A305" s="114"/>
      <c r="B305" s="122"/>
      <c r="C305" s="123"/>
      <c r="D305" s="26">
        <f t="shared" si="175"/>
        <v>-1459</v>
      </c>
      <c r="E305" s="117"/>
      <c r="F305" s="117"/>
      <c r="G305" s="19">
        <f t="shared" si="176"/>
        <v>-1459</v>
      </c>
      <c r="H305" s="122"/>
      <c r="I305" s="123"/>
      <c r="J305" s="26">
        <f t="shared" si="177"/>
        <v>-1459</v>
      </c>
      <c r="K305" s="117"/>
      <c r="L305" s="117"/>
      <c r="M305" s="38">
        <f t="shared" si="178"/>
        <v>-1459</v>
      </c>
      <c r="N305" s="122"/>
      <c r="O305" s="123"/>
      <c r="P305" s="26">
        <f t="shared" si="179"/>
        <v>-1459</v>
      </c>
      <c r="Q305" s="117"/>
      <c r="R305" s="117"/>
      <c r="S305" s="19">
        <f t="shared" si="180"/>
        <v>-1459</v>
      </c>
      <c r="T305" s="124"/>
      <c r="U305" s="124"/>
      <c r="V305" s="20">
        <f t="shared" si="181"/>
        <v>-1459</v>
      </c>
      <c r="W305" s="143"/>
    </row>
    <row r="306" spans="1:23" ht="15.75" customHeight="1">
      <c r="A306" s="114"/>
      <c r="B306" s="122"/>
      <c r="C306" s="123"/>
      <c r="D306" s="39">
        <f t="shared" si="175"/>
        <v>-1459</v>
      </c>
      <c r="E306" s="128"/>
      <c r="F306" s="128"/>
      <c r="G306" s="29">
        <f t="shared" si="176"/>
        <v>-1459</v>
      </c>
      <c r="H306" s="122"/>
      <c r="I306" s="123"/>
      <c r="J306" s="39">
        <f t="shared" si="177"/>
        <v>-1459</v>
      </c>
      <c r="K306" s="128"/>
      <c r="L306" s="128"/>
      <c r="M306" s="40">
        <f t="shared" si="178"/>
        <v>-1459</v>
      </c>
      <c r="N306" s="122"/>
      <c r="O306" s="123"/>
      <c r="P306" s="39">
        <f t="shared" si="179"/>
        <v>-1459</v>
      </c>
      <c r="Q306" s="128"/>
      <c r="R306" s="128"/>
      <c r="S306" s="29">
        <f t="shared" si="180"/>
        <v>-1459</v>
      </c>
      <c r="T306" s="124"/>
      <c r="U306" s="123"/>
      <c r="V306" s="49">
        <f t="shared" si="181"/>
        <v>-1459</v>
      </c>
      <c r="W306" s="143"/>
    </row>
    <row r="307" spans="1:23" ht="15.75" customHeight="1">
      <c r="A307" s="87"/>
      <c r="B307" s="77">
        <f ca="1">IFERROR(__xludf.DUMMYFUNCTION("DATE(VALUE(LEFT($B$2,4)),VALUE(MID($B$2,6,2)),VALUE(RIGHT($B$2,2)))
+ (VALUE(REGEXEXTRACT(INDIRECT(""A""&amp;ROW()+1),""\d+""))-1)*7
+ INT((COLUMN()-COLUMN($B307))/3)
"),46929)</f>
        <v>46929</v>
      </c>
      <c r="C307" s="81"/>
      <c r="D307" s="82"/>
      <c r="E307" s="77">
        <f ca="1">IFERROR(__xludf.DUMMYFUNCTION("DATE(VALUE(LEFT($B$2,4)),VALUE(MID($B$2,6,2)),VALUE(RIGHT($B$2,2)))
+ (VALUE(REGEXEXTRACT(INDIRECT(""A""&amp;ROW()+1),""\d+""))-1)*7
+ INT((COLUMN()-COLUMN($B307))/3)
"),46930)</f>
        <v>46930</v>
      </c>
      <c r="F307" s="81"/>
      <c r="G307" s="82"/>
      <c r="H307" s="77">
        <f ca="1">IFERROR(__xludf.DUMMYFUNCTION("DATE(VALUE(LEFT($B$2,4)),VALUE(MID($B$2,6,2)),VALUE(RIGHT($B$2,2)))
+ (VALUE(REGEXEXTRACT(INDIRECT(""A""&amp;ROW()+1),""\d+""))-1)*7
+ INT((COLUMN()-COLUMN($B307))/3)
"),46931)</f>
        <v>46931</v>
      </c>
      <c r="I307" s="81"/>
      <c r="J307" s="82"/>
      <c r="K307" s="77">
        <f ca="1">IFERROR(__xludf.DUMMYFUNCTION("DATE(VALUE(LEFT($B$2,4)),VALUE(MID($B$2,6,2)),VALUE(RIGHT($B$2,2)))
+ (VALUE(REGEXEXTRACT(INDIRECT(""A""&amp;ROW()+1),""\d+""))-1)*7
+ INT((COLUMN()-COLUMN($B307))/3)
"),46932)</f>
        <v>46932</v>
      </c>
      <c r="L307" s="81"/>
      <c r="M307" s="82"/>
      <c r="N307" s="77">
        <f ca="1">IFERROR(__xludf.DUMMYFUNCTION("DATE(VALUE(LEFT($B$2,4)),VALUE(MID($B$2,6,2)),VALUE(RIGHT($B$2,2)))
+ (VALUE(REGEXEXTRACT(INDIRECT(""A""&amp;ROW()+1),""\d+""))-1)*7
+ INT((COLUMN()-COLUMN($B307))/3)
"),46933)</f>
        <v>46933</v>
      </c>
      <c r="O307" s="81"/>
      <c r="P307" s="82"/>
      <c r="Q307" s="77">
        <f ca="1">IFERROR(__xludf.DUMMYFUNCTION("DATE(VALUE(LEFT($B$2,4)),VALUE(MID($B$2,6,2)),VALUE(RIGHT($B$2,2)))
+ (VALUE(REGEXEXTRACT(INDIRECT(""A""&amp;ROW()+1),""\d+""))-1)*7
+ INT((COLUMN()-COLUMN($B307))/3)
"),46934)</f>
        <v>46934</v>
      </c>
      <c r="R307" s="81"/>
      <c r="S307" s="82"/>
      <c r="T307" s="77">
        <f ca="1">IFERROR(__xludf.DUMMYFUNCTION("DATE(VALUE(LEFT($B$2,4)),VALUE(MID($B$2,6,2)),VALUE(RIGHT($B$2,2)))
+ (VALUE(REGEXEXTRACT(INDIRECT(""A""&amp;ROW()+1),""\d+""))-1)*7
+ INT((COLUMN()-COLUMN($B307))/3)
"),46935)</f>
        <v>46935</v>
      </c>
      <c r="U307" s="81"/>
      <c r="V307" s="82"/>
      <c r="W307" s="52" t="s">
        <v>20</v>
      </c>
    </row>
    <row r="308" spans="1:23" ht="15.75" customHeight="1">
      <c r="A308" s="47" t="s">
        <v>155</v>
      </c>
      <c r="B308" s="113"/>
      <c r="C308" s="109"/>
      <c r="D308" s="50">
        <f>V306+C308</f>
        <v>-1459</v>
      </c>
      <c r="E308" s="179"/>
      <c r="F308" s="180"/>
      <c r="G308" s="36">
        <f>D318+F308</f>
        <v>-1459</v>
      </c>
      <c r="H308" s="132"/>
      <c r="I308" s="109"/>
      <c r="J308" s="42">
        <f>G318+I308</f>
        <v>-1459</v>
      </c>
      <c r="K308" s="110"/>
      <c r="L308" s="111"/>
      <c r="M308" s="18">
        <f>J318+L308</f>
        <v>-1459</v>
      </c>
      <c r="N308" s="113"/>
      <c r="O308" s="109"/>
      <c r="P308" s="35">
        <f>M318+O308</f>
        <v>-1459</v>
      </c>
      <c r="Q308" s="112"/>
      <c r="R308" s="111"/>
      <c r="S308" s="17">
        <f>P318+R308</f>
        <v>-1459</v>
      </c>
      <c r="T308" s="176"/>
      <c r="U308" s="173"/>
      <c r="V308" s="50">
        <f>S318+U308</f>
        <v>-1459</v>
      </c>
      <c r="W308" s="172"/>
    </row>
    <row r="309" spans="1:23" ht="15.75" customHeight="1">
      <c r="A309" s="114"/>
      <c r="B309" s="118"/>
      <c r="C309" s="117"/>
      <c r="D309" s="45">
        <f t="shared" ref="D309:D318" si="182">D308+C309</f>
        <v>-1459</v>
      </c>
      <c r="E309" s="106"/>
      <c r="F309" s="107"/>
      <c r="G309" s="26">
        <f t="shared" ref="G309:G318" si="183">G308+F309</f>
        <v>-1459</v>
      </c>
      <c r="H309" s="133"/>
      <c r="I309" s="117"/>
      <c r="J309" s="19">
        <f t="shared" ref="J309:J318" si="184">J308+I309</f>
        <v>-1459</v>
      </c>
      <c r="K309" s="116"/>
      <c r="L309" s="107"/>
      <c r="M309" s="26">
        <f t="shared" ref="M309:M318" si="185">M308+L309</f>
        <v>-1459</v>
      </c>
      <c r="N309" s="118"/>
      <c r="O309" s="117"/>
      <c r="P309" s="38">
        <f t="shared" ref="P309:P318" si="186">P308+O309</f>
        <v>-1459</v>
      </c>
      <c r="Q309" s="106"/>
      <c r="R309" s="107"/>
      <c r="S309" s="26">
        <f t="shared" ref="S309:S318" si="187">S308+R309</f>
        <v>-1459</v>
      </c>
      <c r="T309" s="177"/>
      <c r="U309" s="136"/>
      <c r="V309" s="45">
        <f t="shared" ref="V309:V318" si="188">V308+U309</f>
        <v>-1459</v>
      </c>
      <c r="W309" s="143"/>
    </row>
    <row r="310" spans="1:23" ht="15.75" customHeight="1">
      <c r="A310" s="114"/>
      <c r="B310" s="118"/>
      <c r="C310" s="117"/>
      <c r="D310" s="45">
        <f t="shared" si="182"/>
        <v>-1459</v>
      </c>
      <c r="E310" s="106"/>
      <c r="F310" s="107"/>
      <c r="G310" s="26">
        <f t="shared" si="183"/>
        <v>-1459</v>
      </c>
      <c r="H310" s="133"/>
      <c r="I310" s="117"/>
      <c r="J310" s="19">
        <f t="shared" si="184"/>
        <v>-1459</v>
      </c>
      <c r="K310" s="116"/>
      <c r="L310" s="107"/>
      <c r="M310" s="26">
        <f t="shared" si="185"/>
        <v>-1459</v>
      </c>
      <c r="N310" s="117"/>
      <c r="O310" s="117"/>
      <c r="P310" s="38">
        <f t="shared" si="186"/>
        <v>-1459</v>
      </c>
      <c r="Q310" s="106"/>
      <c r="R310" s="107"/>
      <c r="S310" s="26">
        <f t="shared" si="187"/>
        <v>-1459</v>
      </c>
      <c r="T310" s="177"/>
      <c r="U310" s="136"/>
      <c r="V310" s="45">
        <f t="shared" si="188"/>
        <v>-1459</v>
      </c>
      <c r="W310" s="143"/>
    </row>
    <row r="311" spans="1:23" ht="15.75" customHeight="1">
      <c r="A311" s="114"/>
      <c r="B311" s="118"/>
      <c r="C311" s="117"/>
      <c r="D311" s="45">
        <f t="shared" si="182"/>
        <v>-1459</v>
      </c>
      <c r="E311" s="106"/>
      <c r="F311" s="107"/>
      <c r="G311" s="26">
        <f t="shared" si="183"/>
        <v>-1459</v>
      </c>
      <c r="H311" s="133"/>
      <c r="I311" s="117"/>
      <c r="J311" s="19">
        <f t="shared" si="184"/>
        <v>-1459</v>
      </c>
      <c r="K311" s="116"/>
      <c r="L311" s="107"/>
      <c r="M311" s="26">
        <f t="shared" si="185"/>
        <v>-1459</v>
      </c>
      <c r="N311" s="117"/>
      <c r="O311" s="117"/>
      <c r="P311" s="38">
        <f t="shared" si="186"/>
        <v>-1459</v>
      </c>
      <c r="Q311" s="106"/>
      <c r="R311" s="107"/>
      <c r="S311" s="26">
        <f t="shared" si="187"/>
        <v>-1459</v>
      </c>
      <c r="T311" s="177"/>
      <c r="U311" s="136"/>
      <c r="V311" s="45">
        <f t="shared" si="188"/>
        <v>-1459</v>
      </c>
      <c r="W311" s="143"/>
    </row>
    <row r="312" spans="1:23" ht="15.75" customHeight="1">
      <c r="A312" s="114"/>
      <c r="B312" s="118"/>
      <c r="C312" s="117"/>
      <c r="D312" s="45">
        <f t="shared" si="182"/>
        <v>-1459</v>
      </c>
      <c r="E312" s="106"/>
      <c r="F312" s="107"/>
      <c r="G312" s="26">
        <f t="shared" si="183"/>
        <v>-1459</v>
      </c>
      <c r="H312" s="133"/>
      <c r="I312" s="117"/>
      <c r="J312" s="19">
        <f t="shared" si="184"/>
        <v>-1459</v>
      </c>
      <c r="K312" s="116"/>
      <c r="L312" s="107"/>
      <c r="M312" s="26">
        <f t="shared" si="185"/>
        <v>-1459</v>
      </c>
      <c r="N312" s="117"/>
      <c r="O312" s="117"/>
      <c r="P312" s="38">
        <f t="shared" si="186"/>
        <v>-1459</v>
      </c>
      <c r="Q312" s="106"/>
      <c r="R312" s="107"/>
      <c r="S312" s="26">
        <f t="shared" si="187"/>
        <v>-1459</v>
      </c>
      <c r="T312" s="177"/>
      <c r="U312" s="136"/>
      <c r="V312" s="45">
        <f t="shared" si="188"/>
        <v>-1459</v>
      </c>
      <c r="W312" s="143"/>
    </row>
    <row r="313" spans="1:23" ht="15.75" customHeight="1">
      <c r="A313" s="114"/>
      <c r="B313" s="118"/>
      <c r="C313" s="117"/>
      <c r="D313" s="45">
        <f t="shared" si="182"/>
        <v>-1459</v>
      </c>
      <c r="E313" s="106"/>
      <c r="F313" s="107"/>
      <c r="G313" s="26">
        <f t="shared" si="183"/>
        <v>-1459</v>
      </c>
      <c r="H313" s="133"/>
      <c r="I313" s="117"/>
      <c r="J313" s="19">
        <f t="shared" si="184"/>
        <v>-1459</v>
      </c>
      <c r="K313" s="116"/>
      <c r="L313" s="107"/>
      <c r="M313" s="26">
        <f t="shared" si="185"/>
        <v>-1459</v>
      </c>
      <c r="N313" s="117"/>
      <c r="O313" s="117"/>
      <c r="P313" s="38">
        <f t="shared" si="186"/>
        <v>-1459</v>
      </c>
      <c r="Q313" s="106"/>
      <c r="R313" s="107"/>
      <c r="S313" s="26">
        <f t="shared" si="187"/>
        <v>-1459</v>
      </c>
      <c r="T313" s="177"/>
      <c r="U313" s="136"/>
      <c r="V313" s="45">
        <f t="shared" si="188"/>
        <v>-1459</v>
      </c>
      <c r="W313" s="143"/>
    </row>
    <row r="314" spans="1:23" ht="15.75" customHeight="1">
      <c r="A314" s="114"/>
      <c r="B314" s="117"/>
      <c r="C314" s="117"/>
      <c r="D314" s="45">
        <f t="shared" si="182"/>
        <v>-1459</v>
      </c>
      <c r="E314" s="106"/>
      <c r="F314" s="107"/>
      <c r="G314" s="26">
        <f t="shared" si="183"/>
        <v>-1459</v>
      </c>
      <c r="H314" s="133"/>
      <c r="I314" s="117"/>
      <c r="J314" s="19">
        <f t="shared" si="184"/>
        <v>-1459</v>
      </c>
      <c r="K314" s="106"/>
      <c r="L314" s="107"/>
      <c r="M314" s="26">
        <f t="shared" si="185"/>
        <v>-1459</v>
      </c>
      <c r="N314" s="117"/>
      <c r="O314" s="117"/>
      <c r="P314" s="38">
        <f t="shared" si="186"/>
        <v>-1459</v>
      </c>
      <c r="Q314" s="106"/>
      <c r="R314" s="107"/>
      <c r="S314" s="26">
        <f t="shared" si="187"/>
        <v>-1459</v>
      </c>
      <c r="T314" s="177"/>
      <c r="U314" s="136"/>
      <c r="V314" s="45">
        <f t="shared" si="188"/>
        <v>-1459</v>
      </c>
      <c r="W314" s="143"/>
    </row>
    <row r="315" spans="1:23" ht="15.75" customHeight="1">
      <c r="A315" s="114"/>
      <c r="B315" s="117"/>
      <c r="C315" s="117"/>
      <c r="D315" s="45">
        <f t="shared" si="182"/>
        <v>-1459</v>
      </c>
      <c r="E315" s="106"/>
      <c r="F315" s="107"/>
      <c r="G315" s="26">
        <f t="shared" si="183"/>
        <v>-1459</v>
      </c>
      <c r="H315" s="133"/>
      <c r="I315" s="117"/>
      <c r="J315" s="19">
        <f t="shared" si="184"/>
        <v>-1459</v>
      </c>
      <c r="K315" s="106"/>
      <c r="L315" s="107"/>
      <c r="M315" s="26">
        <f t="shared" si="185"/>
        <v>-1459</v>
      </c>
      <c r="N315" s="117"/>
      <c r="O315" s="117"/>
      <c r="P315" s="38">
        <f t="shared" si="186"/>
        <v>-1459</v>
      </c>
      <c r="Q315" s="106"/>
      <c r="R315" s="107"/>
      <c r="S315" s="26">
        <f t="shared" si="187"/>
        <v>-1459</v>
      </c>
      <c r="T315" s="177"/>
      <c r="U315" s="136"/>
      <c r="V315" s="45">
        <f t="shared" si="188"/>
        <v>-1459</v>
      </c>
      <c r="W315" s="143"/>
    </row>
    <row r="316" spans="1:23" ht="15.75" customHeight="1">
      <c r="A316" s="114"/>
      <c r="B316" s="117"/>
      <c r="C316" s="117"/>
      <c r="D316" s="45">
        <f t="shared" si="182"/>
        <v>-1459</v>
      </c>
      <c r="E316" s="106"/>
      <c r="F316" s="107"/>
      <c r="G316" s="26">
        <f t="shared" si="183"/>
        <v>-1459</v>
      </c>
      <c r="H316" s="133"/>
      <c r="I316" s="117"/>
      <c r="J316" s="19">
        <f t="shared" si="184"/>
        <v>-1459</v>
      </c>
      <c r="K316" s="106"/>
      <c r="L316" s="107"/>
      <c r="M316" s="26">
        <f t="shared" si="185"/>
        <v>-1459</v>
      </c>
      <c r="N316" s="117"/>
      <c r="O316" s="117"/>
      <c r="P316" s="38">
        <f t="shared" si="186"/>
        <v>-1459</v>
      </c>
      <c r="Q316" s="106"/>
      <c r="R316" s="107"/>
      <c r="S316" s="26">
        <f t="shared" si="187"/>
        <v>-1459</v>
      </c>
      <c r="T316" s="177"/>
      <c r="U316" s="136"/>
      <c r="V316" s="45">
        <f t="shared" si="188"/>
        <v>-1459</v>
      </c>
      <c r="W316" s="143"/>
    </row>
    <row r="317" spans="1:23" ht="15.75" customHeight="1">
      <c r="A317" s="114"/>
      <c r="B317" s="117"/>
      <c r="C317" s="117"/>
      <c r="D317" s="45">
        <f t="shared" si="182"/>
        <v>-1459</v>
      </c>
      <c r="E317" s="122"/>
      <c r="F317" s="123"/>
      <c r="G317" s="26">
        <f t="shared" si="183"/>
        <v>-1459</v>
      </c>
      <c r="H317" s="133"/>
      <c r="I317" s="117"/>
      <c r="J317" s="19">
        <f t="shared" si="184"/>
        <v>-1459</v>
      </c>
      <c r="K317" s="122"/>
      <c r="L317" s="123"/>
      <c r="M317" s="26">
        <f t="shared" si="185"/>
        <v>-1459</v>
      </c>
      <c r="N317" s="117"/>
      <c r="O317" s="117"/>
      <c r="P317" s="38">
        <f t="shared" si="186"/>
        <v>-1459</v>
      </c>
      <c r="Q317" s="122"/>
      <c r="R317" s="123"/>
      <c r="S317" s="26">
        <f t="shared" si="187"/>
        <v>-1459</v>
      </c>
      <c r="T317" s="177"/>
      <c r="U317" s="136"/>
      <c r="V317" s="45">
        <f t="shared" si="188"/>
        <v>-1459</v>
      </c>
      <c r="W317" s="143"/>
    </row>
    <row r="318" spans="1:23" ht="15.75" customHeight="1">
      <c r="A318" s="114"/>
      <c r="B318" s="128"/>
      <c r="C318" s="128"/>
      <c r="D318" s="46">
        <f t="shared" si="182"/>
        <v>-1459</v>
      </c>
      <c r="E318" s="122"/>
      <c r="F318" s="123"/>
      <c r="G318" s="39">
        <f t="shared" si="183"/>
        <v>-1459</v>
      </c>
      <c r="H318" s="140"/>
      <c r="I318" s="128"/>
      <c r="J318" s="29">
        <f t="shared" si="184"/>
        <v>-1459</v>
      </c>
      <c r="K318" s="122"/>
      <c r="L318" s="123"/>
      <c r="M318" s="39">
        <f t="shared" si="185"/>
        <v>-1459</v>
      </c>
      <c r="N318" s="128"/>
      <c r="O318" s="128"/>
      <c r="P318" s="40">
        <f t="shared" si="186"/>
        <v>-1459</v>
      </c>
      <c r="Q318" s="122"/>
      <c r="R318" s="123"/>
      <c r="S318" s="39">
        <f t="shared" si="187"/>
        <v>-1459</v>
      </c>
      <c r="T318" s="178"/>
      <c r="U318" s="141"/>
      <c r="V318" s="46">
        <f t="shared" si="188"/>
        <v>-1459</v>
      </c>
      <c r="W318" s="143"/>
    </row>
    <row r="319" spans="1:23" ht="15.75" customHeight="1">
      <c r="A319" s="87"/>
      <c r="B319" s="77">
        <f ca="1">IFERROR(__xludf.DUMMYFUNCTION("DATE(VALUE(LEFT($B$2,4)),VALUE(MID($B$2,6,2)),VALUE(RIGHT($B$2,2)))
+ (VALUE(REGEXEXTRACT(INDIRECT(""A""&amp;ROW()+1),""\d+""))-1)*7
+ INT((COLUMN()-COLUMN($B319))/3)
"),46936)</f>
        <v>46936</v>
      </c>
      <c r="C319" s="81"/>
      <c r="D319" s="82"/>
      <c r="E319" s="77">
        <f ca="1">IFERROR(__xludf.DUMMYFUNCTION("DATE(VALUE(LEFT($B$2,4)),VALUE(MID($B$2,6,2)),VALUE(RIGHT($B$2,2)))
+ (VALUE(REGEXEXTRACT(INDIRECT(""A""&amp;ROW()+1),""\d+""))-1)*7
+ INT((COLUMN()-COLUMN($B319))/3)
"),46937)</f>
        <v>46937</v>
      </c>
      <c r="F319" s="81"/>
      <c r="G319" s="82"/>
      <c r="H319" s="77">
        <f ca="1">IFERROR(__xludf.DUMMYFUNCTION("DATE(VALUE(LEFT($B$2,4)),VALUE(MID($B$2,6,2)),VALUE(RIGHT($B$2,2)))
+ (VALUE(REGEXEXTRACT(INDIRECT(""A""&amp;ROW()+1),""\d+""))-1)*7
+ INT((COLUMN()-COLUMN($B319))/3)
"),46938)</f>
        <v>46938</v>
      </c>
      <c r="I319" s="81"/>
      <c r="J319" s="82"/>
      <c r="K319" s="77">
        <f ca="1">IFERROR(__xludf.DUMMYFUNCTION("DATE(VALUE(LEFT($B$2,4)),VALUE(MID($B$2,6,2)),VALUE(RIGHT($B$2,2)))
+ (VALUE(REGEXEXTRACT(INDIRECT(""A""&amp;ROW()+1),""\d+""))-1)*7
+ INT((COLUMN()-COLUMN($B319))/3)
"),46939)</f>
        <v>46939</v>
      </c>
      <c r="L319" s="81"/>
      <c r="M319" s="82"/>
      <c r="N319" s="77">
        <f ca="1">IFERROR(__xludf.DUMMYFUNCTION("DATE(VALUE(LEFT($B$2,4)),VALUE(MID($B$2,6,2)),VALUE(RIGHT($B$2,2)))
+ (VALUE(REGEXEXTRACT(INDIRECT(""A""&amp;ROW()+1),""\d+""))-1)*7
+ INT((COLUMN()-COLUMN($B319))/3)
"),46940)</f>
        <v>46940</v>
      </c>
      <c r="O319" s="81"/>
      <c r="P319" s="82"/>
      <c r="Q319" s="77">
        <f ca="1">IFERROR(__xludf.DUMMYFUNCTION("DATE(VALUE(LEFT($B$2,4)),VALUE(MID($B$2,6,2)),VALUE(RIGHT($B$2,2)))
+ (VALUE(REGEXEXTRACT(INDIRECT(""A""&amp;ROW()+1),""\d+""))-1)*7
+ INT((COLUMN()-COLUMN($B319))/3)
"),46941)</f>
        <v>46941</v>
      </c>
      <c r="R319" s="81"/>
      <c r="S319" s="82"/>
      <c r="T319" s="77">
        <f ca="1">IFERROR(__xludf.DUMMYFUNCTION("DATE(VALUE(LEFT($B$2,4)),VALUE(MID($B$2,6,2)),VALUE(RIGHT($B$2,2)))
+ (VALUE(REGEXEXTRACT(INDIRECT(""A""&amp;ROW()+1),""\d+""))-1)*7
+ INT((COLUMN()-COLUMN($B319))/3)
"),46942)</f>
        <v>46942</v>
      </c>
      <c r="U319" s="81"/>
      <c r="V319" s="82"/>
      <c r="W319" s="143"/>
    </row>
    <row r="320" spans="1:23" ht="15.75" customHeight="1">
      <c r="A320" s="51" t="s">
        <v>156</v>
      </c>
      <c r="B320" s="112"/>
      <c r="C320" s="111"/>
      <c r="D320" s="48">
        <f>V318+C320</f>
        <v>-1459</v>
      </c>
      <c r="E320" s="113"/>
      <c r="F320" s="109"/>
      <c r="G320" s="42">
        <f>D330+F320</f>
        <v>-1459</v>
      </c>
      <c r="H320" s="110"/>
      <c r="I320" s="111"/>
      <c r="J320" s="17">
        <f>G330+I320</f>
        <v>-1459</v>
      </c>
      <c r="K320" s="109"/>
      <c r="L320" s="109"/>
      <c r="M320" s="35">
        <f>J330+L320</f>
        <v>-1459</v>
      </c>
      <c r="N320" s="112"/>
      <c r="O320" s="111"/>
      <c r="P320" s="17">
        <f>M330+O320</f>
        <v>-1459</v>
      </c>
      <c r="Q320" s="109"/>
      <c r="R320" s="109"/>
      <c r="S320" s="42">
        <f>P330+R320</f>
        <v>-1459</v>
      </c>
      <c r="T320" s="110"/>
      <c r="U320" s="111"/>
      <c r="V320" s="48">
        <f>S330+U320</f>
        <v>-1459</v>
      </c>
      <c r="W320" s="143"/>
    </row>
    <row r="321" spans="1:23" ht="15.75" customHeight="1">
      <c r="A321" s="114"/>
      <c r="B321" s="106"/>
      <c r="C321" s="107"/>
      <c r="D321" s="20">
        <f t="shared" ref="D321:D330" si="189">D320+C321</f>
        <v>-1459</v>
      </c>
      <c r="E321" s="118"/>
      <c r="F321" s="117"/>
      <c r="G321" s="19">
        <f t="shared" ref="G321:G330" si="190">G320+F321</f>
        <v>-1459</v>
      </c>
      <c r="H321" s="116"/>
      <c r="I321" s="107"/>
      <c r="J321" s="26">
        <f t="shared" ref="J321:J330" si="191">J320+I321</f>
        <v>-1459</v>
      </c>
      <c r="K321" s="117"/>
      <c r="L321" s="117"/>
      <c r="M321" s="38">
        <f t="shared" ref="M321:M330" si="192">M320+L321</f>
        <v>-1459</v>
      </c>
      <c r="N321" s="106"/>
      <c r="O321" s="107"/>
      <c r="P321" s="26">
        <f t="shared" ref="P321:P330" si="193">P320+O321</f>
        <v>-1459</v>
      </c>
      <c r="Q321" s="117"/>
      <c r="R321" s="117"/>
      <c r="S321" s="19">
        <f t="shared" ref="S321:S330" si="194">S320+R321</f>
        <v>-1459</v>
      </c>
      <c r="T321" s="116"/>
      <c r="U321" s="107"/>
      <c r="V321" s="20">
        <f t="shared" ref="V321:V330" si="195">V320+U321</f>
        <v>-1459</v>
      </c>
      <c r="W321" s="143"/>
    </row>
    <row r="322" spans="1:23" ht="15.75" customHeight="1">
      <c r="A322" s="114"/>
      <c r="B322" s="106"/>
      <c r="C322" s="107"/>
      <c r="D322" s="20">
        <f t="shared" si="189"/>
        <v>-1459</v>
      </c>
      <c r="E322" s="118"/>
      <c r="F322" s="117"/>
      <c r="G322" s="19">
        <f t="shared" si="190"/>
        <v>-1459</v>
      </c>
      <c r="H322" s="116"/>
      <c r="I322" s="107"/>
      <c r="J322" s="26">
        <f t="shared" si="191"/>
        <v>-1459</v>
      </c>
      <c r="K322" s="117"/>
      <c r="L322" s="117"/>
      <c r="M322" s="38">
        <f t="shared" si="192"/>
        <v>-1459</v>
      </c>
      <c r="N322" s="106"/>
      <c r="O322" s="107"/>
      <c r="P322" s="26">
        <f t="shared" si="193"/>
        <v>-1459</v>
      </c>
      <c r="Q322" s="117"/>
      <c r="R322" s="117"/>
      <c r="S322" s="19">
        <f t="shared" si="194"/>
        <v>-1459</v>
      </c>
      <c r="T322" s="116"/>
      <c r="U322" s="107"/>
      <c r="V322" s="20">
        <f t="shared" si="195"/>
        <v>-1459</v>
      </c>
      <c r="W322" s="143"/>
    </row>
    <row r="323" spans="1:23" ht="15.75" customHeight="1">
      <c r="A323" s="114"/>
      <c r="B323" s="106"/>
      <c r="C323" s="107"/>
      <c r="D323" s="20">
        <f t="shared" si="189"/>
        <v>-1459</v>
      </c>
      <c r="E323" s="118"/>
      <c r="F323" s="117"/>
      <c r="G323" s="19">
        <f t="shared" si="190"/>
        <v>-1459</v>
      </c>
      <c r="H323" s="116"/>
      <c r="I323" s="107"/>
      <c r="J323" s="26">
        <f t="shared" si="191"/>
        <v>-1459</v>
      </c>
      <c r="K323" s="117"/>
      <c r="L323" s="117"/>
      <c r="M323" s="38">
        <f t="shared" si="192"/>
        <v>-1459</v>
      </c>
      <c r="N323" s="106"/>
      <c r="O323" s="107"/>
      <c r="P323" s="26">
        <f t="shared" si="193"/>
        <v>-1459</v>
      </c>
      <c r="Q323" s="117"/>
      <c r="R323" s="117"/>
      <c r="S323" s="19">
        <f t="shared" si="194"/>
        <v>-1459</v>
      </c>
      <c r="T323" s="116"/>
      <c r="U323" s="107"/>
      <c r="V323" s="20">
        <f t="shared" si="195"/>
        <v>-1459</v>
      </c>
      <c r="W323" s="143"/>
    </row>
    <row r="324" spans="1:23" ht="15.75" customHeight="1">
      <c r="A324" s="114"/>
      <c r="B324" s="106"/>
      <c r="C324" s="107"/>
      <c r="D324" s="20">
        <f t="shared" si="189"/>
        <v>-1459</v>
      </c>
      <c r="E324" s="118"/>
      <c r="F324" s="117"/>
      <c r="G324" s="19">
        <f t="shared" si="190"/>
        <v>-1459</v>
      </c>
      <c r="H324" s="116"/>
      <c r="I324" s="107"/>
      <c r="J324" s="26">
        <f t="shared" si="191"/>
        <v>-1459</v>
      </c>
      <c r="K324" s="117"/>
      <c r="L324" s="117"/>
      <c r="M324" s="38">
        <f t="shared" si="192"/>
        <v>-1459</v>
      </c>
      <c r="N324" s="106"/>
      <c r="O324" s="107"/>
      <c r="P324" s="26">
        <f t="shared" si="193"/>
        <v>-1459</v>
      </c>
      <c r="Q324" s="117"/>
      <c r="R324" s="117"/>
      <c r="S324" s="19">
        <f t="shared" si="194"/>
        <v>-1459</v>
      </c>
      <c r="T324" s="116"/>
      <c r="U324" s="107"/>
      <c r="V324" s="20">
        <f t="shared" si="195"/>
        <v>-1459</v>
      </c>
      <c r="W324" s="143"/>
    </row>
    <row r="325" spans="1:23" ht="15.75" customHeight="1">
      <c r="A325" s="114"/>
      <c r="B325" s="106"/>
      <c r="C325" s="107"/>
      <c r="D325" s="20">
        <f t="shared" si="189"/>
        <v>-1459</v>
      </c>
      <c r="E325" s="118"/>
      <c r="F325" s="117"/>
      <c r="G325" s="19">
        <f t="shared" si="190"/>
        <v>-1459</v>
      </c>
      <c r="H325" s="116"/>
      <c r="I325" s="107"/>
      <c r="J325" s="26">
        <f t="shared" si="191"/>
        <v>-1459</v>
      </c>
      <c r="K325" s="117"/>
      <c r="L325" s="117"/>
      <c r="M325" s="38">
        <f t="shared" si="192"/>
        <v>-1459</v>
      </c>
      <c r="N325" s="106"/>
      <c r="O325" s="107"/>
      <c r="P325" s="26">
        <f t="shared" si="193"/>
        <v>-1459</v>
      </c>
      <c r="Q325" s="117"/>
      <c r="R325" s="117"/>
      <c r="S325" s="19">
        <f t="shared" si="194"/>
        <v>-1459</v>
      </c>
      <c r="T325" s="116"/>
      <c r="U325" s="107"/>
      <c r="V325" s="20">
        <f t="shared" si="195"/>
        <v>-1459</v>
      </c>
      <c r="W325" s="143"/>
    </row>
    <row r="326" spans="1:23" ht="15.75" customHeight="1">
      <c r="A326" s="114"/>
      <c r="B326" s="106"/>
      <c r="C326" s="107"/>
      <c r="D326" s="20">
        <f t="shared" si="189"/>
        <v>-1459</v>
      </c>
      <c r="E326" s="118"/>
      <c r="F326" s="117"/>
      <c r="G326" s="19">
        <f t="shared" si="190"/>
        <v>-1459</v>
      </c>
      <c r="H326" s="116"/>
      <c r="I326" s="107"/>
      <c r="J326" s="26">
        <f t="shared" si="191"/>
        <v>-1459</v>
      </c>
      <c r="K326" s="117"/>
      <c r="L326" s="117"/>
      <c r="M326" s="38">
        <f t="shared" si="192"/>
        <v>-1459</v>
      </c>
      <c r="N326" s="106"/>
      <c r="O326" s="107"/>
      <c r="P326" s="26">
        <f t="shared" si="193"/>
        <v>-1459</v>
      </c>
      <c r="Q326" s="117"/>
      <c r="R326" s="117"/>
      <c r="S326" s="19">
        <f t="shared" si="194"/>
        <v>-1459</v>
      </c>
      <c r="T326" s="116"/>
      <c r="U326" s="107"/>
      <c r="V326" s="20">
        <f t="shared" si="195"/>
        <v>-1459</v>
      </c>
      <c r="W326" s="143"/>
    </row>
    <row r="327" spans="1:23" ht="15.75" customHeight="1">
      <c r="A327" s="114"/>
      <c r="B327" s="106"/>
      <c r="C327" s="107"/>
      <c r="D327" s="20">
        <f t="shared" si="189"/>
        <v>-1459</v>
      </c>
      <c r="E327" s="118"/>
      <c r="F327" s="117"/>
      <c r="G327" s="19">
        <f t="shared" si="190"/>
        <v>-1459</v>
      </c>
      <c r="H327" s="116"/>
      <c r="I327" s="107"/>
      <c r="J327" s="26">
        <f t="shared" si="191"/>
        <v>-1459</v>
      </c>
      <c r="K327" s="117"/>
      <c r="L327" s="117"/>
      <c r="M327" s="38">
        <f t="shared" si="192"/>
        <v>-1459</v>
      </c>
      <c r="N327" s="106"/>
      <c r="O327" s="107"/>
      <c r="P327" s="26">
        <f t="shared" si="193"/>
        <v>-1459</v>
      </c>
      <c r="Q327" s="117"/>
      <c r="R327" s="117"/>
      <c r="S327" s="19">
        <f t="shared" si="194"/>
        <v>-1459</v>
      </c>
      <c r="T327" s="116"/>
      <c r="U327" s="107"/>
      <c r="V327" s="20">
        <f t="shared" si="195"/>
        <v>-1459</v>
      </c>
      <c r="W327" s="143"/>
    </row>
    <row r="328" spans="1:23" ht="15.75" customHeight="1">
      <c r="A328" s="114"/>
      <c r="B328" s="122"/>
      <c r="C328" s="123"/>
      <c r="D328" s="20">
        <f t="shared" si="189"/>
        <v>-1459</v>
      </c>
      <c r="E328" s="118"/>
      <c r="F328" s="117"/>
      <c r="G328" s="19">
        <f t="shared" si="190"/>
        <v>-1459</v>
      </c>
      <c r="H328" s="124"/>
      <c r="I328" s="123"/>
      <c r="J328" s="26">
        <f t="shared" si="191"/>
        <v>-1459</v>
      </c>
      <c r="K328" s="117"/>
      <c r="L328" s="117"/>
      <c r="M328" s="38">
        <f t="shared" si="192"/>
        <v>-1459</v>
      </c>
      <c r="N328" s="122"/>
      <c r="O328" s="123"/>
      <c r="P328" s="26">
        <f t="shared" si="193"/>
        <v>-1459</v>
      </c>
      <c r="Q328" s="117"/>
      <c r="R328" s="117"/>
      <c r="S328" s="19">
        <f t="shared" si="194"/>
        <v>-1459</v>
      </c>
      <c r="T328" s="116"/>
      <c r="U328" s="107"/>
      <c r="V328" s="20">
        <f t="shared" si="195"/>
        <v>-1459</v>
      </c>
      <c r="W328" s="143"/>
    </row>
    <row r="329" spans="1:23" ht="15.75" customHeight="1">
      <c r="A329" s="114"/>
      <c r="B329" s="122"/>
      <c r="C329" s="123"/>
      <c r="D329" s="20">
        <f t="shared" si="189"/>
        <v>-1459</v>
      </c>
      <c r="E329" s="118"/>
      <c r="F329" s="117"/>
      <c r="G329" s="19">
        <f t="shared" si="190"/>
        <v>-1459</v>
      </c>
      <c r="H329" s="124"/>
      <c r="I329" s="123"/>
      <c r="J329" s="26">
        <f t="shared" si="191"/>
        <v>-1459</v>
      </c>
      <c r="K329" s="117"/>
      <c r="L329" s="117"/>
      <c r="M329" s="38">
        <f t="shared" si="192"/>
        <v>-1459</v>
      </c>
      <c r="N329" s="122"/>
      <c r="O329" s="123"/>
      <c r="P329" s="26">
        <f t="shared" si="193"/>
        <v>-1459</v>
      </c>
      <c r="Q329" s="117"/>
      <c r="R329" s="117"/>
      <c r="S329" s="19">
        <f t="shared" si="194"/>
        <v>-1459</v>
      </c>
      <c r="T329" s="124"/>
      <c r="U329" s="124"/>
      <c r="V329" s="20">
        <f t="shared" si="195"/>
        <v>-1459</v>
      </c>
      <c r="W329" s="143"/>
    </row>
    <row r="330" spans="1:23" ht="15.75" customHeight="1">
      <c r="A330" s="114"/>
      <c r="B330" s="122"/>
      <c r="C330" s="123"/>
      <c r="D330" s="49">
        <f t="shared" si="189"/>
        <v>-1459</v>
      </c>
      <c r="E330" s="154"/>
      <c r="F330" s="128"/>
      <c r="G330" s="29">
        <f t="shared" si="190"/>
        <v>-1459</v>
      </c>
      <c r="H330" s="124"/>
      <c r="I330" s="123"/>
      <c r="J330" s="39">
        <f t="shared" si="191"/>
        <v>-1459</v>
      </c>
      <c r="K330" s="128"/>
      <c r="L330" s="128"/>
      <c r="M330" s="40">
        <f t="shared" si="192"/>
        <v>-1459</v>
      </c>
      <c r="N330" s="122"/>
      <c r="O330" s="123"/>
      <c r="P330" s="39">
        <f t="shared" si="193"/>
        <v>-1459</v>
      </c>
      <c r="Q330" s="128"/>
      <c r="R330" s="128"/>
      <c r="S330" s="29">
        <f t="shared" si="194"/>
        <v>-1459</v>
      </c>
      <c r="T330" s="124"/>
      <c r="U330" s="123"/>
      <c r="V330" s="49">
        <f t="shared" si="195"/>
        <v>-1459</v>
      </c>
      <c r="W330" s="143"/>
    </row>
    <row r="331" spans="1:23" ht="15.75" customHeight="1">
      <c r="A331" s="87"/>
      <c r="B331" s="77">
        <f ca="1">IFERROR(__xludf.DUMMYFUNCTION("DATE(VALUE(LEFT($B$2,4)),VALUE(MID($B$2,6,2)),VALUE(RIGHT($B$2,2)))
+ (VALUE(REGEXEXTRACT(INDIRECT(""A""&amp;ROW()+1),""\d+""))-1)*7
+ INT((COLUMN()-COLUMN($B331))/3)
"),46943)</f>
        <v>46943</v>
      </c>
      <c r="C331" s="81"/>
      <c r="D331" s="82"/>
      <c r="E331" s="77">
        <f ca="1">IFERROR(__xludf.DUMMYFUNCTION("DATE(VALUE(LEFT($B$2,4)),VALUE(MID($B$2,6,2)),VALUE(RIGHT($B$2,2)))
+ (VALUE(REGEXEXTRACT(INDIRECT(""A""&amp;ROW()+1),""\d+""))-1)*7
+ INT((COLUMN()-COLUMN($B331))/3)
"),46944)</f>
        <v>46944</v>
      </c>
      <c r="F331" s="81"/>
      <c r="G331" s="82"/>
      <c r="H331" s="77">
        <f ca="1">IFERROR(__xludf.DUMMYFUNCTION("DATE(VALUE(LEFT($B$2,4)),VALUE(MID($B$2,6,2)),VALUE(RIGHT($B$2,2)))
+ (VALUE(REGEXEXTRACT(INDIRECT(""A""&amp;ROW()+1),""\d+""))-1)*7
+ INT((COLUMN()-COLUMN($B331))/3)
"),46945)</f>
        <v>46945</v>
      </c>
      <c r="I331" s="81"/>
      <c r="J331" s="82"/>
      <c r="K331" s="77">
        <f ca="1">IFERROR(__xludf.DUMMYFUNCTION("DATE(VALUE(LEFT($B$2,4)),VALUE(MID($B$2,6,2)),VALUE(RIGHT($B$2,2)))
+ (VALUE(REGEXEXTRACT(INDIRECT(""A""&amp;ROW()+1),""\d+""))-1)*7
+ INT((COLUMN()-COLUMN($B331))/3)
"),46946)</f>
        <v>46946</v>
      </c>
      <c r="L331" s="81"/>
      <c r="M331" s="82"/>
      <c r="N331" s="77">
        <f ca="1">IFERROR(__xludf.DUMMYFUNCTION("DATE(VALUE(LEFT($B$2,4)),VALUE(MID($B$2,6,2)),VALUE(RIGHT($B$2,2)))
+ (VALUE(REGEXEXTRACT(INDIRECT(""A""&amp;ROW()+1),""\d+""))-1)*7
+ INT((COLUMN()-COLUMN($B331))/3)
"),46947)</f>
        <v>46947</v>
      </c>
      <c r="O331" s="81"/>
      <c r="P331" s="82"/>
      <c r="Q331" s="77">
        <f ca="1">IFERROR(__xludf.DUMMYFUNCTION("DATE(VALUE(LEFT($B$2,4)),VALUE(MID($B$2,6,2)),VALUE(RIGHT($B$2,2)))
+ (VALUE(REGEXEXTRACT(INDIRECT(""A""&amp;ROW()+1),""\d+""))-1)*7
+ INT((COLUMN()-COLUMN($B331))/3)
"),46948)</f>
        <v>46948</v>
      </c>
      <c r="R331" s="81"/>
      <c r="S331" s="82"/>
      <c r="T331" s="77">
        <f ca="1">IFERROR(__xludf.DUMMYFUNCTION("DATE(VALUE(LEFT($B$2,4)),VALUE(MID($B$2,6,2)),VALUE(RIGHT($B$2,2)))
+ (VALUE(REGEXEXTRACT(INDIRECT(""A""&amp;ROW()+1),""\d+""))-1)*7
+ INT((COLUMN()-COLUMN($B331))/3)
"),46949)</f>
        <v>46949</v>
      </c>
      <c r="U331" s="81"/>
      <c r="V331" s="82"/>
      <c r="W331" s="52" t="s">
        <v>20</v>
      </c>
    </row>
    <row r="332" spans="1:23" ht="15.75" customHeight="1">
      <c r="A332" s="47" t="s">
        <v>157</v>
      </c>
      <c r="B332" s="113"/>
      <c r="C332" s="109"/>
      <c r="D332" s="50">
        <f>V330+C332</f>
        <v>-1459</v>
      </c>
      <c r="E332" s="112"/>
      <c r="F332" s="111"/>
      <c r="G332" s="17">
        <f>D342+F332</f>
        <v>-1459</v>
      </c>
      <c r="H332" s="132"/>
      <c r="I332" s="109"/>
      <c r="J332" s="42">
        <f>G342+I332</f>
        <v>-1459</v>
      </c>
      <c r="K332" s="112"/>
      <c r="L332" s="111"/>
      <c r="M332" s="18">
        <f>J342+L332</f>
        <v>-1459</v>
      </c>
      <c r="N332" s="109"/>
      <c r="O332" s="109"/>
      <c r="P332" s="35">
        <f>M342+O332</f>
        <v>-1459</v>
      </c>
      <c r="Q332" s="112"/>
      <c r="R332" s="111"/>
      <c r="S332" s="17">
        <f>P342+R332</f>
        <v>-1459</v>
      </c>
      <c r="T332" s="176"/>
      <c r="U332" s="173"/>
      <c r="V332" s="50">
        <f>S342+U332</f>
        <v>-1459</v>
      </c>
      <c r="W332" s="172"/>
    </row>
    <row r="333" spans="1:23" ht="15.75" customHeight="1">
      <c r="A333" s="114"/>
      <c r="B333" s="118"/>
      <c r="C333" s="117"/>
      <c r="D333" s="45">
        <f t="shared" ref="D333:D342" si="196">D332+C333</f>
        <v>-1459</v>
      </c>
      <c r="E333" s="106"/>
      <c r="F333" s="107"/>
      <c r="G333" s="26">
        <f t="shared" ref="G333:G342" si="197">G332+F333</f>
        <v>-1459</v>
      </c>
      <c r="H333" s="133"/>
      <c r="I333" s="117"/>
      <c r="J333" s="19">
        <f t="shared" ref="J333:J342" si="198">J332+I333</f>
        <v>-1459</v>
      </c>
      <c r="K333" s="106"/>
      <c r="L333" s="107"/>
      <c r="M333" s="26">
        <f t="shared" ref="M333:M342" si="199">M332+L333</f>
        <v>-1459</v>
      </c>
      <c r="N333" s="117"/>
      <c r="O333" s="117"/>
      <c r="P333" s="38">
        <f t="shared" ref="P333:P342" si="200">P332+O333</f>
        <v>-1459</v>
      </c>
      <c r="Q333" s="106"/>
      <c r="R333" s="107"/>
      <c r="S333" s="26">
        <f t="shared" ref="S333:S342" si="201">S332+R333</f>
        <v>-1459</v>
      </c>
      <c r="T333" s="177"/>
      <c r="U333" s="136"/>
      <c r="V333" s="45">
        <f t="shared" ref="V333:V342" si="202">V332+U333</f>
        <v>-1459</v>
      </c>
      <c r="W333" s="143"/>
    </row>
    <row r="334" spans="1:23" ht="15.75" customHeight="1">
      <c r="A334" s="114"/>
      <c r="B334" s="118"/>
      <c r="C334" s="117"/>
      <c r="D334" s="45">
        <f t="shared" si="196"/>
        <v>-1459</v>
      </c>
      <c r="E334" s="106"/>
      <c r="F334" s="107"/>
      <c r="G334" s="26">
        <f t="shared" si="197"/>
        <v>-1459</v>
      </c>
      <c r="H334" s="133"/>
      <c r="I334" s="117"/>
      <c r="J334" s="19">
        <f t="shared" si="198"/>
        <v>-1459</v>
      </c>
      <c r="K334" s="106"/>
      <c r="L334" s="107"/>
      <c r="M334" s="26">
        <f t="shared" si="199"/>
        <v>-1459</v>
      </c>
      <c r="N334" s="117"/>
      <c r="O334" s="117"/>
      <c r="P334" s="38">
        <f t="shared" si="200"/>
        <v>-1459</v>
      </c>
      <c r="Q334" s="106"/>
      <c r="R334" s="107"/>
      <c r="S334" s="26">
        <f t="shared" si="201"/>
        <v>-1459</v>
      </c>
      <c r="T334" s="177"/>
      <c r="U334" s="136"/>
      <c r="V334" s="45">
        <f t="shared" si="202"/>
        <v>-1459</v>
      </c>
      <c r="W334" s="143"/>
    </row>
    <row r="335" spans="1:23" ht="15.75" customHeight="1">
      <c r="A335" s="114"/>
      <c r="B335" s="118"/>
      <c r="C335" s="117"/>
      <c r="D335" s="45">
        <f t="shared" si="196"/>
        <v>-1459</v>
      </c>
      <c r="E335" s="106"/>
      <c r="F335" s="107"/>
      <c r="G335" s="26">
        <f t="shared" si="197"/>
        <v>-1459</v>
      </c>
      <c r="H335" s="133"/>
      <c r="I335" s="117"/>
      <c r="J335" s="19">
        <f t="shared" si="198"/>
        <v>-1459</v>
      </c>
      <c r="K335" s="106"/>
      <c r="L335" s="107"/>
      <c r="M335" s="26">
        <f t="shared" si="199"/>
        <v>-1459</v>
      </c>
      <c r="N335" s="117"/>
      <c r="O335" s="117"/>
      <c r="P335" s="38">
        <f t="shared" si="200"/>
        <v>-1459</v>
      </c>
      <c r="Q335" s="106"/>
      <c r="R335" s="107"/>
      <c r="S335" s="26">
        <f t="shared" si="201"/>
        <v>-1459</v>
      </c>
      <c r="T335" s="177"/>
      <c r="U335" s="136"/>
      <c r="V335" s="45">
        <f t="shared" si="202"/>
        <v>-1459</v>
      </c>
      <c r="W335" s="143"/>
    </row>
    <row r="336" spans="1:23" ht="15.75" customHeight="1">
      <c r="A336" s="114"/>
      <c r="B336" s="118"/>
      <c r="C336" s="117"/>
      <c r="D336" s="45">
        <f t="shared" si="196"/>
        <v>-1459</v>
      </c>
      <c r="E336" s="106"/>
      <c r="F336" s="107"/>
      <c r="G336" s="26">
        <f t="shared" si="197"/>
        <v>-1459</v>
      </c>
      <c r="H336" s="133"/>
      <c r="I336" s="117"/>
      <c r="J336" s="19">
        <f t="shared" si="198"/>
        <v>-1459</v>
      </c>
      <c r="K336" s="106"/>
      <c r="L336" s="107"/>
      <c r="M336" s="26">
        <f t="shared" si="199"/>
        <v>-1459</v>
      </c>
      <c r="N336" s="117"/>
      <c r="O336" s="117"/>
      <c r="P336" s="38">
        <f t="shared" si="200"/>
        <v>-1459</v>
      </c>
      <c r="Q336" s="106"/>
      <c r="R336" s="107"/>
      <c r="S336" s="26">
        <f t="shared" si="201"/>
        <v>-1459</v>
      </c>
      <c r="T336" s="177"/>
      <c r="U336" s="136"/>
      <c r="V336" s="45">
        <f t="shared" si="202"/>
        <v>-1459</v>
      </c>
      <c r="W336" s="143"/>
    </row>
    <row r="337" spans="1:23" ht="15.75" customHeight="1">
      <c r="A337" s="114"/>
      <c r="B337" s="118"/>
      <c r="C337" s="117"/>
      <c r="D337" s="45">
        <f t="shared" si="196"/>
        <v>-1459</v>
      </c>
      <c r="E337" s="106"/>
      <c r="F337" s="107"/>
      <c r="G337" s="26">
        <f t="shared" si="197"/>
        <v>-1459</v>
      </c>
      <c r="H337" s="133"/>
      <c r="I337" s="117"/>
      <c r="J337" s="19">
        <f t="shared" si="198"/>
        <v>-1459</v>
      </c>
      <c r="K337" s="106"/>
      <c r="L337" s="107"/>
      <c r="M337" s="26">
        <f t="shared" si="199"/>
        <v>-1459</v>
      </c>
      <c r="N337" s="117"/>
      <c r="O337" s="117"/>
      <c r="P337" s="38">
        <f t="shared" si="200"/>
        <v>-1459</v>
      </c>
      <c r="Q337" s="106"/>
      <c r="R337" s="107"/>
      <c r="S337" s="26">
        <f t="shared" si="201"/>
        <v>-1459</v>
      </c>
      <c r="T337" s="177"/>
      <c r="U337" s="136"/>
      <c r="V337" s="45">
        <f t="shared" si="202"/>
        <v>-1459</v>
      </c>
      <c r="W337" s="143"/>
    </row>
    <row r="338" spans="1:23" ht="15.75" customHeight="1">
      <c r="A338" s="114"/>
      <c r="B338" s="117"/>
      <c r="C338" s="117"/>
      <c r="D338" s="45">
        <f t="shared" si="196"/>
        <v>-1459</v>
      </c>
      <c r="E338" s="106"/>
      <c r="F338" s="107"/>
      <c r="G338" s="26">
        <f t="shared" si="197"/>
        <v>-1459</v>
      </c>
      <c r="H338" s="133"/>
      <c r="I338" s="117"/>
      <c r="J338" s="19">
        <f t="shared" si="198"/>
        <v>-1459</v>
      </c>
      <c r="K338" s="106"/>
      <c r="L338" s="107"/>
      <c r="M338" s="26">
        <f t="shared" si="199"/>
        <v>-1459</v>
      </c>
      <c r="N338" s="117"/>
      <c r="O338" s="117"/>
      <c r="P338" s="38">
        <f t="shared" si="200"/>
        <v>-1459</v>
      </c>
      <c r="Q338" s="106"/>
      <c r="R338" s="107"/>
      <c r="S338" s="26">
        <f t="shared" si="201"/>
        <v>-1459</v>
      </c>
      <c r="T338" s="177"/>
      <c r="U338" s="136"/>
      <c r="V338" s="45">
        <f t="shared" si="202"/>
        <v>-1459</v>
      </c>
      <c r="W338" s="143"/>
    </row>
    <row r="339" spans="1:23" ht="15.75" customHeight="1">
      <c r="A339" s="114"/>
      <c r="B339" s="117"/>
      <c r="C339" s="117"/>
      <c r="D339" s="45">
        <f t="shared" si="196"/>
        <v>-1459</v>
      </c>
      <c r="E339" s="106"/>
      <c r="F339" s="107"/>
      <c r="G339" s="26">
        <f t="shared" si="197"/>
        <v>-1459</v>
      </c>
      <c r="H339" s="133"/>
      <c r="I339" s="117"/>
      <c r="J339" s="19">
        <f t="shared" si="198"/>
        <v>-1459</v>
      </c>
      <c r="K339" s="106"/>
      <c r="L339" s="107"/>
      <c r="M339" s="26">
        <f t="shared" si="199"/>
        <v>-1459</v>
      </c>
      <c r="N339" s="117"/>
      <c r="O339" s="117"/>
      <c r="P339" s="38">
        <f t="shared" si="200"/>
        <v>-1459</v>
      </c>
      <c r="Q339" s="106"/>
      <c r="R339" s="107"/>
      <c r="S339" s="26">
        <f t="shared" si="201"/>
        <v>-1459</v>
      </c>
      <c r="T339" s="177"/>
      <c r="U339" s="136"/>
      <c r="V339" s="45">
        <f t="shared" si="202"/>
        <v>-1459</v>
      </c>
      <c r="W339" s="143"/>
    </row>
    <row r="340" spans="1:23" ht="15.75" customHeight="1">
      <c r="A340" s="114"/>
      <c r="B340" s="117"/>
      <c r="C340" s="117"/>
      <c r="D340" s="45">
        <f t="shared" si="196"/>
        <v>-1459</v>
      </c>
      <c r="E340" s="106"/>
      <c r="F340" s="107"/>
      <c r="G340" s="26">
        <f t="shared" si="197"/>
        <v>-1459</v>
      </c>
      <c r="H340" s="133"/>
      <c r="I340" s="117"/>
      <c r="J340" s="19">
        <f t="shared" si="198"/>
        <v>-1459</v>
      </c>
      <c r="K340" s="106"/>
      <c r="L340" s="107"/>
      <c r="M340" s="26">
        <f t="shared" si="199"/>
        <v>-1459</v>
      </c>
      <c r="N340" s="117"/>
      <c r="O340" s="117"/>
      <c r="P340" s="38">
        <f t="shared" si="200"/>
        <v>-1459</v>
      </c>
      <c r="Q340" s="106"/>
      <c r="R340" s="107"/>
      <c r="S340" s="26">
        <f t="shared" si="201"/>
        <v>-1459</v>
      </c>
      <c r="T340" s="177"/>
      <c r="U340" s="136"/>
      <c r="V340" s="45">
        <f t="shared" si="202"/>
        <v>-1459</v>
      </c>
      <c r="W340" s="143"/>
    </row>
    <row r="341" spans="1:23" ht="15.75" customHeight="1">
      <c r="A341" s="114"/>
      <c r="B341" s="117"/>
      <c r="C341" s="117"/>
      <c r="D341" s="45">
        <f t="shared" si="196"/>
        <v>-1459</v>
      </c>
      <c r="E341" s="122"/>
      <c r="F341" s="123"/>
      <c r="G341" s="26">
        <f t="shared" si="197"/>
        <v>-1459</v>
      </c>
      <c r="H341" s="133"/>
      <c r="I341" s="117"/>
      <c r="J341" s="19">
        <f t="shared" si="198"/>
        <v>-1459</v>
      </c>
      <c r="K341" s="122"/>
      <c r="L341" s="123"/>
      <c r="M341" s="26">
        <f t="shared" si="199"/>
        <v>-1459</v>
      </c>
      <c r="N341" s="117"/>
      <c r="O341" s="117"/>
      <c r="P341" s="38">
        <f t="shared" si="200"/>
        <v>-1459</v>
      </c>
      <c r="Q341" s="122"/>
      <c r="R341" s="123"/>
      <c r="S341" s="26">
        <f t="shared" si="201"/>
        <v>-1459</v>
      </c>
      <c r="T341" s="177"/>
      <c r="U341" s="136"/>
      <c r="V341" s="45">
        <f t="shared" si="202"/>
        <v>-1459</v>
      </c>
      <c r="W341" s="143"/>
    </row>
    <row r="342" spans="1:23" ht="15.75" customHeight="1">
      <c r="A342" s="114"/>
      <c r="B342" s="128"/>
      <c r="C342" s="128"/>
      <c r="D342" s="46">
        <f t="shared" si="196"/>
        <v>-1459</v>
      </c>
      <c r="E342" s="122"/>
      <c r="F342" s="123"/>
      <c r="G342" s="39">
        <f t="shared" si="197"/>
        <v>-1459</v>
      </c>
      <c r="H342" s="140"/>
      <c r="I342" s="128"/>
      <c r="J342" s="29">
        <f t="shared" si="198"/>
        <v>-1459</v>
      </c>
      <c r="K342" s="122"/>
      <c r="L342" s="123"/>
      <c r="M342" s="39">
        <f t="shared" si="199"/>
        <v>-1459</v>
      </c>
      <c r="N342" s="128"/>
      <c r="O342" s="128"/>
      <c r="P342" s="40">
        <f t="shared" si="200"/>
        <v>-1459</v>
      </c>
      <c r="Q342" s="122"/>
      <c r="R342" s="123"/>
      <c r="S342" s="39">
        <f t="shared" si="201"/>
        <v>-1459</v>
      </c>
      <c r="T342" s="178"/>
      <c r="U342" s="141"/>
      <c r="V342" s="46">
        <f t="shared" si="202"/>
        <v>-1459</v>
      </c>
      <c r="W342" s="143"/>
    </row>
    <row r="343" spans="1:23" ht="15.75" customHeight="1">
      <c r="A343" s="87"/>
      <c r="B343" s="77">
        <f ca="1">IFERROR(__xludf.DUMMYFUNCTION("DATE(VALUE(LEFT($B$2,4)),VALUE(MID($B$2,6,2)),VALUE(RIGHT($B$2,2)))
+ (VALUE(REGEXEXTRACT(INDIRECT(""A""&amp;ROW()+1),""\d+""))-1)*7
+ INT((COLUMN()-COLUMN($B343))/3)
"),46950)</f>
        <v>46950</v>
      </c>
      <c r="C343" s="81"/>
      <c r="D343" s="82"/>
      <c r="E343" s="77">
        <f ca="1">IFERROR(__xludf.DUMMYFUNCTION("DATE(VALUE(LEFT($B$2,4)),VALUE(MID($B$2,6,2)),VALUE(RIGHT($B$2,2)))
+ (VALUE(REGEXEXTRACT(INDIRECT(""A""&amp;ROW()+1),""\d+""))-1)*7
+ INT((COLUMN()-COLUMN($B343))/3)
"),46951)</f>
        <v>46951</v>
      </c>
      <c r="F343" s="81"/>
      <c r="G343" s="82"/>
      <c r="H343" s="77">
        <f ca="1">IFERROR(__xludf.DUMMYFUNCTION("DATE(VALUE(LEFT($B$2,4)),VALUE(MID($B$2,6,2)),VALUE(RIGHT($B$2,2)))
+ (VALUE(REGEXEXTRACT(INDIRECT(""A""&amp;ROW()+1),""\d+""))-1)*7
+ INT((COLUMN()-COLUMN($B343))/3)
"),46952)</f>
        <v>46952</v>
      </c>
      <c r="I343" s="81"/>
      <c r="J343" s="82"/>
      <c r="K343" s="77">
        <f ca="1">IFERROR(__xludf.DUMMYFUNCTION("DATE(VALUE(LEFT($B$2,4)),VALUE(MID($B$2,6,2)),VALUE(RIGHT($B$2,2)))
+ (VALUE(REGEXEXTRACT(INDIRECT(""A""&amp;ROW()+1),""\d+""))-1)*7
+ INT((COLUMN()-COLUMN($B343))/3)
"),46953)</f>
        <v>46953</v>
      </c>
      <c r="L343" s="81"/>
      <c r="M343" s="82"/>
      <c r="N343" s="77">
        <f ca="1">IFERROR(__xludf.DUMMYFUNCTION("DATE(VALUE(LEFT($B$2,4)),VALUE(MID($B$2,6,2)),VALUE(RIGHT($B$2,2)))
+ (VALUE(REGEXEXTRACT(INDIRECT(""A""&amp;ROW()+1),""\d+""))-1)*7
+ INT((COLUMN()-COLUMN($B343))/3)
"),46954)</f>
        <v>46954</v>
      </c>
      <c r="O343" s="81"/>
      <c r="P343" s="82"/>
      <c r="Q343" s="77">
        <f ca="1">IFERROR(__xludf.DUMMYFUNCTION("DATE(VALUE(LEFT($B$2,4)),VALUE(MID($B$2,6,2)),VALUE(RIGHT($B$2,2)))
+ (VALUE(REGEXEXTRACT(INDIRECT(""A""&amp;ROW()+1),""\d+""))-1)*7
+ INT((COLUMN()-COLUMN($B343))/3)
"),46955)</f>
        <v>46955</v>
      </c>
      <c r="R343" s="81"/>
      <c r="S343" s="82"/>
      <c r="T343" s="77">
        <f ca="1">IFERROR(__xludf.DUMMYFUNCTION("DATE(VALUE(LEFT($B$2,4)),VALUE(MID($B$2,6,2)),VALUE(RIGHT($B$2,2)))
+ (VALUE(REGEXEXTRACT(INDIRECT(""A""&amp;ROW()+1),""\d+""))-1)*7
+ INT((COLUMN()-COLUMN($B343))/3)
"),46956)</f>
        <v>46956</v>
      </c>
      <c r="U343" s="81"/>
      <c r="V343" s="82"/>
      <c r="W343" s="143"/>
    </row>
    <row r="344" spans="1:23" ht="15.75" customHeight="1">
      <c r="A344" s="51" t="s">
        <v>158</v>
      </c>
      <c r="B344" s="112"/>
      <c r="C344" s="111"/>
      <c r="D344" s="48">
        <f>V342+C344</f>
        <v>-1459</v>
      </c>
      <c r="E344" s="113"/>
      <c r="F344" s="109"/>
      <c r="G344" s="42">
        <f>D354+F344</f>
        <v>-1459</v>
      </c>
      <c r="H344" s="110"/>
      <c r="I344" s="111"/>
      <c r="J344" s="17">
        <f>G354+I344</f>
        <v>-1459</v>
      </c>
      <c r="K344" s="109"/>
      <c r="L344" s="109"/>
      <c r="M344" s="35">
        <f>J354+L344</f>
        <v>-1459</v>
      </c>
      <c r="N344" s="112"/>
      <c r="O344" s="111"/>
      <c r="P344" s="17">
        <f>M354+O344</f>
        <v>-1459</v>
      </c>
      <c r="Q344" s="109"/>
      <c r="R344" s="109"/>
      <c r="S344" s="42">
        <f>P354+R344</f>
        <v>-1459</v>
      </c>
      <c r="T344" s="110"/>
      <c r="U344" s="111"/>
      <c r="V344" s="48">
        <f>S354+U344</f>
        <v>-1459</v>
      </c>
      <c r="W344" s="143"/>
    </row>
    <row r="345" spans="1:23" ht="15.75" customHeight="1">
      <c r="A345" s="114"/>
      <c r="B345" s="106"/>
      <c r="C345" s="107"/>
      <c r="D345" s="20">
        <f t="shared" ref="D345:D354" si="203">D344+C345</f>
        <v>-1459</v>
      </c>
      <c r="E345" s="118"/>
      <c r="F345" s="117"/>
      <c r="G345" s="19">
        <f t="shared" ref="G345:G354" si="204">G344+F345</f>
        <v>-1459</v>
      </c>
      <c r="H345" s="116"/>
      <c r="I345" s="107"/>
      <c r="J345" s="26">
        <f t="shared" ref="J345:J354" si="205">J344+I345</f>
        <v>-1459</v>
      </c>
      <c r="K345" s="117"/>
      <c r="L345" s="117"/>
      <c r="M345" s="38">
        <f t="shared" ref="M345:M354" si="206">M344+L345</f>
        <v>-1459</v>
      </c>
      <c r="N345" s="106"/>
      <c r="O345" s="107"/>
      <c r="P345" s="26">
        <f t="shared" ref="P345:P354" si="207">P344+O345</f>
        <v>-1459</v>
      </c>
      <c r="Q345" s="117"/>
      <c r="R345" s="117"/>
      <c r="S345" s="19">
        <f t="shared" ref="S345:S354" si="208">S344+R345</f>
        <v>-1459</v>
      </c>
      <c r="T345" s="116"/>
      <c r="U345" s="107"/>
      <c r="V345" s="20">
        <f t="shared" ref="V345:V354" si="209">V344+U345</f>
        <v>-1459</v>
      </c>
      <c r="W345" s="143"/>
    </row>
    <row r="346" spans="1:23" ht="15.75" customHeight="1">
      <c r="A346" s="114"/>
      <c r="B346" s="106"/>
      <c r="C346" s="107"/>
      <c r="D346" s="20">
        <f t="shared" si="203"/>
        <v>-1459</v>
      </c>
      <c r="E346" s="118"/>
      <c r="F346" s="117"/>
      <c r="G346" s="19">
        <f t="shared" si="204"/>
        <v>-1459</v>
      </c>
      <c r="H346" s="116"/>
      <c r="I346" s="107"/>
      <c r="J346" s="26">
        <f t="shared" si="205"/>
        <v>-1459</v>
      </c>
      <c r="K346" s="117"/>
      <c r="L346" s="117"/>
      <c r="M346" s="38">
        <f t="shared" si="206"/>
        <v>-1459</v>
      </c>
      <c r="N346" s="106"/>
      <c r="O346" s="107"/>
      <c r="P346" s="26">
        <f t="shared" si="207"/>
        <v>-1459</v>
      </c>
      <c r="Q346" s="117"/>
      <c r="R346" s="117"/>
      <c r="S346" s="19">
        <f t="shared" si="208"/>
        <v>-1459</v>
      </c>
      <c r="T346" s="116"/>
      <c r="U346" s="116"/>
      <c r="V346" s="20">
        <f t="shared" si="209"/>
        <v>-1459</v>
      </c>
      <c r="W346" s="143"/>
    </row>
    <row r="347" spans="1:23" ht="15.75" customHeight="1">
      <c r="A347" s="114"/>
      <c r="B347" s="106"/>
      <c r="C347" s="107"/>
      <c r="D347" s="20">
        <f t="shared" si="203"/>
        <v>-1459</v>
      </c>
      <c r="E347" s="118"/>
      <c r="F347" s="117"/>
      <c r="G347" s="19">
        <f t="shared" si="204"/>
        <v>-1459</v>
      </c>
      <c r="H347" s="116"/>
      <c r="I347" s="107"/>
      <c r="J347" s="26">
        <f t="shared" si="205"/>
        <v>-1459</v>
      </c>
      <c r="K347" s="117"/>
      <c r="L347" s="117"/>
      <c r="M347" s="38">
        <f t="shared" si="206"/>
        <v>-1459</v>
      </c>
      <c r="N347" s="106"/>
      <c r="O347" s="107"/>
      <c r="P347" s="26">
        <f t="shared" si="207"/>
        <v>-1459</v>
      </c>
      <c r="Q347" s="117"/>
      <c r="R347" s="117"/>
      <c r="S347" s="19">
        <f t="shared" si="208"/>
        <v>-1459</v>
      </c>
      <c r="T347" s="116"/>
      <c r="U347" s="116"/>
      <c r="V347" s="20">
        <f t="shared" si="209"/>
        <v>-1459</v>
      </c>
      <c r="W347" s="143"/>
    </row>
    <row r="348" spans="1:23" ht="15.75" customHeight="1">
      <c r="A348" s="114"/>
      <c r="B348" s="106"/>
      <c r="C348" s="107"/>
      <c r="D348" s="20">
        <f t="shared" si="203"/>
        <v>-1459</v>
      </c>
      <c r="E348" s="118"/>
      <c r="F348" s="117"/>
      <c r="G348" s="19">
        <f t="shared" si="204"/>
        <v>-1459</v>
      </c>
      <c r="H348" s="116"/>
      <c r="I348" s="107"/>
      <c r="J348" s="26">
        <f t="shared" si="205"/>
        <v>-1459</v>
      </c>
      <c r="K348" s="117"/>
      <c r="L348" s="117"/>
      <c r="M348" s="38">
        <f t="shared" si="206"/>
        <v>-1459</v>
      </c>
      <c r="N348" s="106"/>
      <c r="O348" s="107"/>
      <c r="P348" s="26">
        <f t="shared" si="207"/>
        <v>-1459</v>
      </c>
      <c r="Q348" s="117"/>
      <c r="R348" s="117"/>
      <c r="S348" s="19">
        <f t="shared" si="208"/>
        <v>-1459</v>
      </c>
      <c r="T348" s="116"/>
      <c r="U348" s="116"/>
      <c r="V348" s="20">
        <f t="shared" si="209"/>
        <v>-1459</v>
      </c>
      <c r="W348" s="143"/>
    </row>
    <row r="349" spans="1:23" ht="15.75" customHeight="1">
      <c r="A349" s="114"/>
      <c r="B349" s="106"/>
      <c r="C349" s="107"/>
      <c r="D349" s="20">
        <f t="shared" si="203"/>
        <v>-1459</v>
      </c>
      <c r="E349" s="118"/>
      <c r="F349" s="117"/>
      <c r="G349" s="19">
        <f t="shared" si="204"/>
        <v>-1459</v>
      </c>
      <c r="H349" s="116"/>
      <c r="I349" s="107"/>
      <c r="J349" s="26">
        <f t="shared" si="205"/>
        <v>-1459</v>
      </c>
      <c r="K349" s="117"/>
      <c r="L349" s="117"/>
      <c r="M349" s="38">
        <f t="shared" si="206"/>
        <v>-1459</v>
      </c>
      <c r="N349" s="106"/>
      <c r="O349" s="107"/>
      <c r="P349" s="26">
        <f t="shared" si="207"/>
        <v>-1459</v>
      </c>
      <c r="Q349" s="117"/>
      <c r="R349" s="117"/>
      <c r="S349" s="19">
        <f t="shared" si="208"/>
        <v>-1459</v>
      </c>
      <c r="T349" s="116"/>
      <c r="U349" s="116"/>
      <c r="V349" s="20">
        <f t="shared" si="209"/>
        <v>-1459</v>
      </c>
      <c r="W349" s="143"/>
    </row>
    <row r="350" spans="1:23" ht="15.75" customHeight="1">
      <c r="A350" s="114"/>
      <c r="B350" s="106"/>
      <c r="C350" s="107"/>
      <c r="D350" s="20">
        <f t="shared" si="203"/>
        <v>-1459</v>
      </c>
      <c r="E350" s="118"/>
      <c r="F350" s="117"/>
      <c r="G350" s="19">
        <f t="shared" si="204"/>
        <v>-1459</v>
      </c>
      <c r="H350" s="116"/>
      <c r="I350" s="107"/>
      <c r="J350" s="26">
        <f t="shared" si="205"/>
        <v>-1459</v>
      </c>
      <c r="K350" s="117"/>
      <c r="L350" s="117"/>
      <c r="M350" s="38">
        <f t="shared" si="206"/>
        <v>-1459</v>
      </c>
      <c r="N350" s="106"/>
      <c r="O350" s="107"/>
      <c r="P350" s="26">
        <f t="shared" si="207"/>
        <v>-1459</v>
      </c>
      <c r="Q350" s="117"/>
      <c r="R350" s="117"/>
      <c r="S350" s="19">
        <f t="shared" si="208"/>
        <v>-1459</v>
      </c>
      <c r="T350" s="116"/>
      <c r="U350" s="116"/>
      <c r="V350" s="20">
        <f t="shared" si="209"/>
        <v>-1459</v>
      </c>
      <c r="W350" s="143"/>
    </row>
    <row r="351" spans="1:23" ht="15.75" customHeight="1">
      <c r="A351" s="114"/>
      <c r="B351" s="106"/>
      <c r="C351" s="107"/>
      <c r="D351" s="20">
        <f t="shared" si="203"/>
        <v>-1459</v>
      </c>
      <c r="E351" s="118"/>
      <c r="F351" s="117"/>
      <c r="G351" s="19">
        <f t="shared" si="204"/>
        <v>-1459</v>
      </c>
      <c r="H351" s="116"/>
      <c r="I351" s="107"/>
      <c r="J351" s="26">
        <f t="shared" si="205"/>
        <v>-1459</v>
      </c>
      <c r="K351" s="117"/>
      <c r="L351" s="117"/>
      <c r="M351" s="38">
        <f t="shared" si="206"/>
        <v>-1459</v>
      </c>
      <c r="N351" s="106"/>
      <c r="O351" s="107"/>
      <c r="P351" s="26">
        <f t="shared" si="207"/>
        <v>-1459</v>
      </c>
      <c r="Q351" s="117"/>
      <c r="R351" s="117"/>
      <c r="S351" s="19">
        <f t="shared" si="208"/>
        <v>-1459</v>
      </c>
      <c r="T351" s="116"/>
      <c r="U351" s="116"/>
      <c r="V351" s="20">
        <f t="shared" si="209"/>
        <v>-1459</v>
      </c>
      <c r="W351" s="143"/>
    </row>
    <row r="352" spans="1:23" ht="15.75" customHeight="1">
      <c r="A352" s="114"/>
      <c r="B352" s="122"/>
      <c r="C352" s="123"/>
      <c r="D352" s="20">
        <f t="shared" si="203"/>
        <v>-1459</v>
      </c>
      <c r="E352" s="118"/>
      <c r="F352" s="117"/>
      <c r="G352" s="19">
        <f t="shared" si="204"/>
        <v>-1459</v>
      </c>
      <c r="H352" s="124"/>
      <c r="I352" s="123"/>
      <c r="J352" s="26">
        <f t="shared" si="205"/>
        <v>-1459</v>
      </c>
      <c r="K352" s="117"/>
      <c r="L352" s="117"/>
      <c r="M352" s="38">
        <f t="shared" si="206"/>
        <v>-1459</v>
      </c>
      <c r="N352" s="122"/>
      <c r="O352" s="123"/>
      <c r="P352" s="26">
        <f t="shared" si="207"/>
        <v>-1459</v>
      </c>
      <c r="Q352" s="117"/>
      <c r="R352" s="117"/>
      <c r="S352" s="19">
        <f t="shared" si="208"/>
        <v>-1459</v>
      </c>
      <c r="T352" s="116"/>
      <c r="U352" s="116"/>
      <c r="V352" s="20">
        <f t="shared" si="209"/>
        <v>-1459</v>
      </c>
      <c r="W352" s="143"/>
    </row>
    <row r="353" spans="1:23" ht="15.75" customHeight="1">
      <c r="A353" s="114"/>
      <c r="B353" s="122"/>
      <c r="C353" s="123"/>
      <c r="D353" s="20">
        <f t="shared" si="203"/>
        <v>-1459</v>
      </c>
      <c r="E353" s="118"/>
      <c r="F353" s="117"/>
      <c r="G353" s="19">
        <f t="shared" si="204"/>
        <v>-1459</v>
      </c>
      <c r="H353" s="124"/>
      <c r="I353" s="123"/>
      <c r="J353" s="26">
        <f t="shared" si="205"/>
        <v>-1459</v>
      </c>
      <c r="K353" s="117"/>
      <c r="L353" s="117"/>
      <c r="M353" s="38">
        <f t="shared" si="206"/>
        <v>-1459</v>
      </c>
      <c r="N353" s="122"/>
      <c r="O353" s="123"/>
      <c r="P353" s="26">
        <f t="shared" si="207"/>
        <v>-1459</v>
      </c>
      <c r="Q353" s="117"/>
      <c r="R353" s="117"/>
      <c r="S353" s="19">
        <f t="shared" si="208"/>
        <v>-1459</v>
      </c>
      <c r="T353" s="124"/>
      <c r="U353" s="124"/>
      <c r="V353" s="20">
        <f t="shared" si="209"/>
        <v>-1459</v>
      </c>
      <c r="W353" s="143"/>
    </row>
    <row r="354" spans="1:23" ht="15.75" customHeight="1">
      <c r="A354" s="114"/>
      <c r="B354" s="122"/>
      <c r="C354" s="123"/>
      <c r="D354" s="49">
        <f t="shared" si="203"/>
        <v>-1459</v>
      </c>
      <c r="E354" s="154"/>
      <c r="F354" s="128"/>
      <c r="G354" s="29">
        <f t="shared" si="204"/>
        <v>-1459</v>
      </c>
      <c r="H354" s="124"/>
      <c r="I354" s="123"/>
      <c r="J354" s="39">
        <f t="shared" si="205"/>
        <v>-1459</v>
      </c>
      <c r="K354" s="128"/>
      <c r="L354" s="128"/>
      <c r="M354" s="40">
        <f t="shared" si="206"/>
        <v>-1459</v>
      </c>
      <c r="N354" s="122"/>
      <c r="O354" s="123"/>
      <c r="P354" s="39">
        <f t="shared" si="207"/>
        <v>-1459</v>
      </c>
      <c r="Q354" s="128"/>
      <c r="R354" s="128"/>
      <c r="S354" s="29">
        <f t="shared" si="208"/>
        <v>-1459</v>
      </c>
      <c r="T354" s="124"/>
      <c r="U354" s="123"/>
      <c r="V354" s="49">
        <f t="shared" si="209"/>
        <v>-1459</v>
      </c>
      <c r="W354" s="143"/>
    </row>
    <row r="355" spans="1:23" ht="15.75" customHeight="1">
      <c r="A355" s="87"/>
      <c r="B355" s="77">
        <f ca="1">IFERROR(__xludf.DUMMYFUNCTION("DATE(VALUE(LEFT($B$2,4)),VALUE(MID($B$2,6,2)),VALUE(RIGHT($B$2,2)))
+ (VALUE(REGEXEXTRACT(INDIRECT(""A""&amp;ROW()+1),""\d+""))-1)*7
+ INT((COLUMN()-COLUMN($B355))/3)
"),46957)</f>
        <v>46957</v>
      </c>
      <c r="C355" s="81"/>
      <c r="D355" s="82"/>
      <c r="E355" s="77">
        <f ca="1">IFERROR(__xludf.DUMMYFUNCTION("DATE(VALUE(LEFT($B$2,4)),VALUE(MID($B$2,6,2)),VALUE(RIGHT($B$2,2)))
+ (VALUE(REGEXEXTRACT(INDIRECT(""A""&amp;ROW()+1),""\d+""))-1)*7
+ INT((COLUMN()-COLUMN($B355))/3)
"),46958)</f>
        <v>46958</v>
      </c>
      <c r="F355" s="81"/>
      <c r="G355" s="82"/>
      <c r="H355" s="77">
        <f ca="1">IFERROR(__xludf.DUMMYFUNCTION("DATE(VALUE(LEFT($B$2,4)),VALUE(MID($B$2,6,2)),VALUE(RIGHT($B$2,2)))
+ (VALUE(REGEXEXTRACT(INDIRECT(""A""&amp;ROW()+1),""\d+""))-1)*7
+ INT((COLUMN()-COLUMN($B355))/3)
"),46959)</f>
        <v>46959</v>
      </c>
      <c r="I355" s="81"/>
      <c r="J355" s="82"/>
      <c r="K355" s="77">
        <f ca="1">IFERROR(__xludf.DUMMYFUNCTION("DATE(VALUE(LEFT($B$2,4)),VALUE(MID($B$2,6,2)),VALUE(RIGHT($B$2,2)))
+ (VALUE(REGEXEXTRACT(INDIRECT(""A""&amp;ROW()+1),""\d+""))-1)*7
+ INT((COLUMN()-COLUMN($B355))/3)
"),46960)</f>
        <v>46960</v>
      </c>
      <c r="L355" s="81"/>
      <c r="M355" s="82"/>
      <c r="N355" s="77">
        <f ca="1">IFERROR(__xludf.DUMMYFUNCTION("DATE(VALUE(LEFT($B$2,4)),VALUE(MID($B$2,6,2)),VALUE(RIGHT($B$2,2)))
+ (VALUE(REGEXEXTRACT(INDIRECT(""A""&amp;ROW()+1),""\d+""))-1)*7
+ INT((COLUMN()-COLUMN($B355))/3)
"),46961)</f>
        <v>46961</v>
      </c>
      <c r="O355" s="81"/>
      <c r="P355" s="82"/>
      <c r="Q355" s="77">
        <f ca="1">IFERROR(__xludf.DUMMYFUNCTION("DATE(VALUE(LEFT($B$2,4)),VALUE(MID($B$2,6,2)),VALUE(RIGHT($B$2,2)))
+ (VALUE(REGEXEXTRACT(INDIRECT(""A""&amp;ROW()+1),""\d+""))-1)*7
+ INT((COLUMN()-COLUMN($B355))/3)
"),46962)</f>
        <v>46962</v>
      </c>
      <c r="R355" s="81"/>
      <c r="S355" s="82"/>
      <c r="T355" s="77">
        <f ca="1">IFERROR(__xludf.DUMMYFUNCTION("DATE(VALUE(LEFT($B$2,4)),VALUE(MID($B$2,6,2)),VALUE(RIGHT($B$2,2)))
+ (VALUE(REGEXEXTRACT(INDIRECT(""A""&amp;ROW()+1),""\d+""))-1)*7
+ INT((COLUMN()-COLUMN($B355))/3)
"),46963)</f>
        <v>46963</v>
      </c>
      <c r="U355" s="81"/>
      <c r="V355" s="82"/>
      <c r="W355" s="52" t="s">
        <v>20</v>
      </c>
    </row>
    <row r="356" spans="1:23" ht="15.75" customHeight="1">
      <c r="A356" s="47" t="s">
        <v>159</v>
      </c>
      <c r="B356" s="113"/>
      <c r="C356" s="109"/>
      <c r="D356" s="50">
        <f>V354+C356</f>
        <v>-1459</v>
      </c>
      <c r="E356" s="112"/>
      <c r="F356" s="111"/>
      <c r="G356" s="17">
        <f>D366+F356</f>
        <v>-1459</v>
      </c>
      <c r="H356" s="132"/>
      <c r="I356" s="109"/>
      <c r="J356" s="42">
        <f>G366+I356</f>
        <v>-1459</v>
      </c>
      <c r="K356" s="112"/>
      <c r="L356" s="111"/>
      <c r="M356" s="18">
        <f>J366+L356</f>
        <v>-1459</v>
      </c>
      <c r="N356" s="113"/>
      <c r="O356" s="109"/>
      <c r="P356" s="35">
        <f>M366+O356</f>
        <v>-1459</v>
      </c>
      <c r="Q356" s="112"/>
      <c r="R356" s="111"/>
      <c r="S356" s="17">
        <f>P366+R356</f>
        <v>-1459</v>
      </c>
      <c r="T356" s="176"/>
      <c r="U356" s="173"/>
      <c r="V356" s="50">
        <f>S366+U356</f>
        <v>-1459</v>
      </c>
      <c r="W356" s="172"/>
    </row>
    <row r="357" spans="1:23" ht="15.75" customHeight="1">
      <c r="A357" s="114"/>
      <c r="B357" s="118"/>
      <c r="C357" s="117"/>
      <c r="D357" s="45">
        <f t="shared" ref="D357:D366" si="210">D356+C357</f>
        <v>-1459</v>
      </c>
      <c r="E357" s="106"/>
      <c r="F357" s="107"/>
      <c r="G357" s="26">
        <f t="shared" ref="G357:G366" si="211">G356+F357</f>
        <v>-1459</v>
      </c>
      <c r="H357" s="117"/>
      <c r="I357" s="117"/>
      <c r="J357" s="19">
        <f t="shared" ref="J357:J366" si="212">J356+I357</f>
        <v>-1459</v>
      </c>
      <c r="K357" s="106"/>
      <c r="L357" s="107"/>
      <c r="M357" s="26">
        <f t="shared" ref="M357:M366" si="213">M356+L357</f>
        <v>-1459</v>
      </c>
      <c r="N357" s="118"/>
      <c r="O357" s="117"/>
      <c r="P357" s="38">
        <f t="shared" ref="P357:P366" si="214">P356+O357</f>
        <v>-1459</v>
      </c>
      <c r="Q357" s="106"/>
      <c r="R357" s="107"/>
      <c r="S357" s="26">
        <f t="shared" ref="S357:S366" si="215">S356+R357</f>
        <v>-1459</v>
      </c>
      <c r="T357" s="177"/>
      <c r="U357" s="136"/>
      <c r="V357" s="45">
        <f t="shared" ref="V357:V366" si="216">V356+U357</f>
        <v>-1459</v>
      </c>
      <c r="W357" s="143"/>
    </row>
    <row r="358" spans="1:23" ht="15.75" customHeight="1">
      <c r="A358" s="114"/>
      <c r="B358" s="118"/>
      <c r="C358" s="117"/>
      <c r="D358" s="45">
        <f t="shared" si="210"/>
        <v>-1459</v>
      </c>
      <c r="E358" s="106"/>
      <c r="F358" s="107"/>
      <c r="G358" s="26">
        <f t="shared" si="211"/>
        <v>-1459</v>
      </c>
      <c r="H358" s="117"/>
      <c r="I358" s="117"/>
      <c r="J358" s="19">
        <f t="shared" si="212"/>
        <v>-1459</v>
      </c>
      <c r="K358" s="106"/>
      <c r="L358" s="107"/>
      <c r="M358" s="26">
        <f t="shared" si="213"/>
        <v>-1459</v>
      </c>
      <c r="N358" s="117"/>
      <c r="O358" s="117"/>
      <c r="P358" s="38">
        <f t="shared" si="214"/>
        <v>-1459</v>
      </c>
      <c r="Q358" s="106"/>
      <c r="R358" s="107"/>
      <c r="S358" s="26">
        <f t="shared" si="215"/>
        <v>-1459</v>
      </c>
      <c r="T358" s="177"/>
      <c r="U358" s="136"/>
      <c r="V358" s="45">
        <f t="shared" si="216"/>
        <v>-1459</v>
      </c>
      <c r="W358" s="143"/>
    </row>
    <row r="359" spans="1:23" ht="15.75" customHeight="1">
      <c r="A359" s="114"/>
      <c r="B359" s="118"/>
      <c r="C359" s="117"/>
      <c r="D359" s="45">
        <f t="shared" si="210"/>
        <v>-1459</v>
      </c>
      <c r="E359" s="106"/>
      <c r="F359" s="107"/>
      <c r="G359" s="26">
        <f t="shared" si="211"/>
        <v>-1459</v>
      </c>
      <c r="H359" s="117"/>
      <c r="I359" s="117"/>
      <c r="J359" s="19">
        <f t="shared" si="212"/>
        <v>-1459</v>
      </c>
      <c r="K359" s="106"/>
      <c r="L359" s="107"/>
      <c r="M359" s="26">
        <f t="shared" si="213"/>
        <v>-1459</v>
      </c>
      <c r="N359" s="117"/>
      <c r="O359" s="117"/>
      <c r="P359" s="38">
        <f t="shared" si="214"/>
        <v>-1459</v>
      </c>
      <c r="Q359" s="106"/>
      <c r="R359" s="107"/>
      <c r="S359" s="26">
        <f t="shared" si="215"/>
        <v>-1459</v>
      </c>
      <c r="T359" s="177"/>
      <c r="U359" s="136"/>
      <c r="V359" s="45">
        <f t="shared" si="216"/>
        <v>-1459</v>
      </c>
      <c r="W359" s="143"/>
    </row>
    <row r="360" spans="1:23" ht="15.75" customHeight="1">
      <c r="A360" s="114"/>
      <c r="B360" s="118"/>
      <c r="C360" s="117"/>
      <c r="D360" s="45">
        <f t="shared" si="210"/>
        <v>-1459</v>
      </c>
      <c r="E360" s="106"/>
      <c r="F360" s="107"/>
      <c r="G360" s="26">
        <f t="shared" si="211"/>
        <v>-1459</v>
      </c>
      <c r="H360" s="133"/>
      <c r="I360" s="117"/>
      <c r="J360" s="19">
        <f t="shared" si="212"/>
        <v>-1459</v>
      </c>
      <c r="K360" s="106"/>
      <c r="L360" s="107"/>
      <c r="M360" s="26">
        <f t="shared" si="213"/>
        <v>-1459</v>
      </c>
      <c r="N360" s="117"/>
      <c r="O360" s="117"/>
      <c r="P360" s="38">
        <f t="shared" si="214"/>
        <v>-1459</v>
      </c>
      <c r="Q360" s="106"/>
      <c r="R360" s="107"/>
      <c r="S360" s="26">
        <f t="shared" si="215"/>
        <v>-1459</v>
      </c>
      <c r="T360" s="177"/>
      <c r="U360" s="136"/>
      <c r="V360" s="45">
        <f t="shared" si="216"/>
        <v>-1459</v>
      </c>
      <c r="W360" s="143"/>
    </row>
    <row r="361" spans="1:23" ht="15.75" customHeight="1">
      <c r="A361" s="114"/>
      <c r="B361" s="118"/>
      <c r="C361" s="117"/>
      <c r="D361" s="45">
        <f t="shared" si="210"/>
        <v>-1459</v>
      </c>
      <c r="E361" s="106"/>
      <c r="F361" s="107"/>
      <c r="G361" s="26">
        <f t="shared" si="211"/>
        <v>-1459</v>
      </c>
      <c r="H361" s="133"/>
      <c r="I361" s="117"/>
      <c r="J361" s="19">
        <f t="shared" si="212"/>
        <v>-1459</v>
      </c>
      <c r="K361" s="106"/>
      <c r="L361" s="107"/>
      <c r="M361" s="26">
        <f t="shared" si="213"/>
        <v>-1459</v>
      </c>
      <c r="N361" s="117"/>
      <c r="O361" s="117"/>
      <c r="P361" s="38">
        <f t="shared" si="214"/>
        <v>-1459</v>
      </c>
      <c r="Q361" s="106"/>
      <c r="R361" s="107"/>
      <c r="S361" s="26">
        <f t="shared" si="215"/>
        <v>-1459</v>
      </c>
      <c r="T361" s="136"/>
      <c r="U361" s="136"/>
      <c r="V361" s="45">
        <f t="shared" si="216"/>
        <v>-1459</v>
      </c>
      <c r="W361" s="143"/>
    </row>
    <row r="362" spans="1:23" ht="15.75" customHeight="1">
      <c r="A362" s="114"/>
      <c r="B362" s="117"/>
      <c r="C362" s="117"/>
      <c r="D362" s="45">
        <f t="shared" si="210"/>
        <v>-1459</v>
      </c>
      <c r="E362" s="106"/>
      <c r="F362" s="107"/>
      <c r="G362" s="26">
        <f t="shared" si="211"/>
        <v>-1459</v>
      </c>
      <c r="H362" s="133"/>
      <c r="I362" s="117"/>
      <c r="J362" s="19">
        <f t="shared" si="212"/>
        <v>-1459</v>
      </c>
      <c r="K362" s="106"/>
      <c r="L362" s="107"/>
      <c r="M362" s="26">
        <f t="shared" si="213"/>
        <v>-1459</v>
      </c>
      <c r="N362" s="117"/>
      <c r="O362" s="117"/>
      <c r="P362" s="38">
        <f t="shared" si="214"/>
        <v>-1459</v>
      </c>
      <c r="Q362" s="106"/>
      <c r="R362" s="107"/>
      <c r="S362" s="26">
        <f t="shared" si="215"/>
        <v>-1459</v>
      </c>
      <c r="T362" s="136"/>
      <c r="U362" s="136"/>
      <c r="V362" s="45">
        <f t="shared" si="216"/>
        <v>-1459</v>
      </c>
      <c r="W362" s="143"/>
    </row>
    <row r="363" spans="1:23" ht="15.75" customHeight="1">
      <c r="A363" s="114"/>
      <c r="B363" s="117"/>
      <c r="C363" s="117"/>
      <c r="D363" s="45">
        <f t="shared" si="210"/>
        <v>-1459</v>
      </c>
      <c r="E363" s="106"/>
      <c r="F363" s="107"/>
      <c r="G363" s="26">
        <f t="shared" si="211"/>
        <v>-1459</v>
      </c>
      <c r="H363" s="133"/>
      <c r="I363" s="117"/>
      <c r="J363" s="19">
        <f t="shared" si="212"/>
        <v>-1459</v>
      </c>
      <c r="K363" s="106"/>
      <c r="L363" s="107"/>
      <c r="M363" s="26">
        <f t="shared" si="213"/>
        <v>-1459</v>
      </c>
      <c r="N363" s="117"/>
      <c r="O363" s="117"/>
      <c r="P363" s="38">
        <f t="shared" si="214"/>
        <v>-1459</v>
      </c>
      <c r="Q363" s="106"/>
      <c r="R363" s="107"/>
      <c r="S363" s="26">
        <f t="shared" si="215"/>
        <v>-1459</v>
      </c>
      <c r="T363" s="136"/>
      <c r="U363" s="136"/>
      <c r="V363" s="45">
        <f t="shared" si="216"/>
        <v>-1459</v>
      </c>
      <c r="W363" s="143"/>
    </row>
    <row r="364" spans="1:23" ht="15.75" customHeight="1">
      <c r="A364" s="114"/>
      <c r="B364" s="117"/>
      <c r="C364" s="117"/>
      <c r="D364" s="45">
        <f t="shared" si="210"/>
        <v>-1459</v>
      </c>
      <c r="E364" s="106"/>
      <c r="F364" s="107"/>
      <c r="G364" s="26">
        <f t="shared" si="211"/>
        <v>-1459</v>
      </c>
      <c r="H364" s="133"/>
      <c r="I364" s="117"/>
      <c r="J364" s="19">
        <f t="shared" si="212"/>
        <v>-1459</v>
      </c>
      <c r="K364" s="106"/>
      <c r="L364" s="107"/>
      <c r="M364" s="26">
        <f t="shared" si="213"/>
        <v>-1459</v>
      </c>
      <c r="N364" s="117"/>
      <c r="O364" s="117"/>
      <c r="P364" s="38">
        <f t="shared" si="214"/>
        <v>-1459</v>
      </c>
      <c r="Q364" s="106"/>
      <c r="R364" s="107"/>
      <c r="S364" s="26">
        <f t="shared" si="215"/>
        <v>-1459</v>
      </c>
      <c r="T364" s="136"/>
      <c r="U364" s="136"/>
      <c r="V364" s="45">
        <f t="shared" si="216"/>
        <v>-1459</v>
      </c>
      <c r="W364" s="143"/>
    </row>
    <row r="365" spans="1:23" ht="15.75" customHeight="1">
      <c r="A365" s="114"/>
      <c r="B365" s="117"/>
      <c r="C365" s="117"/>
      <c r="D365" s="45">
        <f t="shared" si="210"/>
        <v>-1459</v>
      </c>
      <c r="E365" s="122"/>
      <c r="F365" s="123"/>
      <c r="G365" s="26">
        <f t="shared" si="211"/>
        <v>-1459</v>
      </c>
      <c r="H365" s="133"/>
      <c r="I365" s="117"/>
      <c r="J365" s="19">
        <f t="shared" si="212"/>
        <v>-1459</v>
      </c>
      <c r="K365" s="122"/>
      <c r="L365" s="123"/>
      <c r="M365" s="26">
        <f t="shared" si="213"/>
        <v>-1459</v>
      </c>
      <c r="N365" s="117"/>
      <c r="O365" s="117"/>
      <c r="P365" s="38">
        <f t="shared" si="214"/>
        <v>-1459</v>
      </c>
      <c r="Q365" s="122"/>
      <c r="R365" s="123"/>
      <c r="S365" s="26">
        <f t="shared" si="215"/>
        <v>-1459</v>
      </c>
      <c r="T365" s="136"/>
      <c r="U365" s="136"/>
      <c r="V365" s="45">
        <f t="shared" si="216"/>
        <v>-1459</v>
      </c>
      <c r="W365" s="143"/>
    </row>
    <row r="366" spans="1:23" ht="15.75" customHeight="1">
      <c r="A366" s="114"/>
      <c r="B366" s="128"/>
      <c r="C366" s="128"/>
      <c r="D366" s="46">
        <f t="shared" si="210"/>
        <v>-1459</v>
      </c>
      <c r="E366" s="122"/>
      <c r="F366" s="123"/>
      <c r="G366" s="39">
        <f t="shared" si="211"/>
        <v>-1459</v>
      </c>
      <c r="H366" s="140"/>
      <c r="I366" s="128"/>
      <c r="J366" s="29">
        <f t="shared" si="212"/>
        <v>-1459</v>
      </c>
      <c r="K366" s="122"/>
      <c r="L366" s="123"/>
      <c r="M366" s="39">
        <f t="shared" si="213"/>
        <v>-1459</v>
      </c>
      <c r="N366" s="128"/>
      <c r="O366" s="128"/>
      <c r="P366" s="40">
        <f t="shared" si="214"/>
        <v>-1459</v>
      </c>
      <c r="Q366" s="122"/>
      <c r="R366" s="123"/>
      <c r="S366" s="39">
        <f t="shared" si="215"/>
        <v>-1459</v>
      </c>
      <c r="T366" s="141"/>
      <c r="U366" s="141"/>
      <c r="V366" s="46">
        <f t="shared" si="216"/>
        <v>-1459</v>
      </c>
      <c r="W366" s="143"/>
    </row>
    <row r="367" spans="1:23" ht="15.75" customHeight="1">
      <c r="A367" s="87"/>
      <c r="B367" s="77">
        <f ca="1">IFERROR(__xludf.DUMMYFUNCTION("DATE(VALUE(LEFT($B$2,4)),VALUE(MID($B$2,6,2)),VALUE(RIGHT($B$2,2)))
+ (VALUE(REGEXEXTRACT(INDIRECT(""A""&amp;ROW()+1),""\d+""))-1)*7
+ INT((COLUMN()-COLUMN($B367))/3)
"),46964)</f>
        <v>46964</v>
      </c>
      <c r="C367" s="81"/>
      <c r="D367" s="82"/>
      <c r="E367" s="77">
        <f ca="1">IFERROR(__xludf.DUMMYFUNCTION("DATE(VALUE(LEFT($B$2,4)),VALUE(MID($B$2,6,2)),VALUE(RIGHT($B$2,2)))
+ (VALUE(REGEXEXTRACT(INDIRECT(""A""&amp;ROW()+1),""\d+""))-1)*7
+ INT((COLUMN()-COLUMN($B367))/3)
"),46965)</f>
        <v>46965</v>
      </c>
      <c r="F367" s="81"/>
      <c r="G367" s="82"/>
      <c r="H367" s="77">
        <f ca="1">IFERROR(__xludf.DUMMYFUNCTION("DATE(VALUE(LEFT($B$2,4)),VALUE(MID($B$2,6,2)),VALUE(RIGHT($B$2,2)))
+ (VALUE(REGEXEXTRACT(INDIRECT(""A""&amp;ROW()+1),""\d+""))-1)*7
+ INT((COLUMN()-COLUMN($B367))/3)
"),46966)</f>
        <v>46966</v>
      </c>
      <c r="I367" s="81"/>
      <c r="J367" s="82"/>
      <c r="K367" s="77">
        <f ca="1">IFERROR(__xludf.DUMMYFUNCTION("DATE(VALUE(LEFT($B$2,4)),VALUE(MID($B$2,6,2)),VALUE(RIGHT($B$2,2)))
+ (VALUE(REGEXEXTRACT(INDIRECT(""A""&amp;ROW()+1),""\d+""))-1)*7
+ INT((COLUMN()-COLUMN($B367))/3)
"),46967)</f>
        <v>46967</v>
      </c>
      <c r="L367" s="81"/>
      <c r="M367" s="82"/>
      <c r="N367" s="77">
        <f ca="1">IFERROR(__xludf.DUMMYFUNCTION("DATE(VALUE(LEFT($B$2,4)),VALUE(MID($B$2,6,2)),VALUE(RIGHT($B$2,2)))
+ (VALUE(REGEXEXTRACT(INDIRECT(""A""&amp;ROW()+1),""\d+""))-1)*7
+ INT((COLUMN()-COLUMN($B367))/3)
"),46968)</f>
        <v>46968</v>
      </c>
      <c r="O367" s="81"/>
      <c r="P367" s="82"/>
      <c r="Q367" s="77">
        <f ca="1">IFERROR(__xludf.DUMMYFUNCTION("DATE(VALUE(LEFT($B$2,4)),VALUE(MID($B$2,6,2)),VALUE(RIGHT($B$2,2)))
+ (VALUE(REGEXEXTRACT(INDIRECT(""A""&amp;ROW()+1),""\d+""))-1)*7
+ INT((COLUMN()-COLUMN($B367))/3)
"),46969)</f>
        <v>46969</v>
      </c>
      <c r="R367" s="81"/>
      <c r="S367" s="82"/>
      <c r="T367" s="77">
        <f ca="1">IFERROR(__xludf.DUMMYFUNCTION("DATE(VALUE(LEFT($B$2,4)),VALUE(MID($B$2,6,2)),VALUE(RIGHT($B$2,2)))
+ (VALUE(REGEXEXTRACT(INDIRECT(""A""&amp;ROW()+1),""\d+""))-1)*7
+ INT((COLUMN()-COLUMN($B367))/3)
"),46970)</f>
        <v>46970</v>
      </c>
      <c r="U367" s="81"/>
      <c r="V367" s="82"/>
      <c r="W367" s="143"/>
    </row>
    <row r="368" spans="1:23" ht="15.75" customHeight="1">
      <c r="A368" s="51" t="s">
        <v>160</v>
      </c>
      <c r="B368" s="112"/>
      <c r="C368" s="111"/>
      <c r="D368" s="48">
        <f>V366+C368</f>
        <v>-1459</v>
      </c>
      <c r="E368" s="113"/>
      <c r="F368" s="109"/>
      <c r="G368" s="42">
        <f>D378+F368</f>
        <v>-1459</v>
      </c>
      <c r="H368" s="110"/>
      <c r="I368" s="111"/>
      <c r="J368" s="17">
        <f>G378+I368</f>
        <v>-1459</v>
      </c>
      <c r="K368" s="109"/>
      <c r="L368" s="109"/>
      <c r="M368" s="35">
        <f>J378+L368</f>
        <v>-1459</v>
      </c>
      <c r="N368" s="112"/>
      <c r="O368" s="111"/>
      <c r="P368" s="17">
        <f>M378+O368</f>
        <v>-1459</v>
      </c>
      <c r="Q368" s="109"/>
      <c r="R368" s="109"/>
      <c r="S368" s="35">
        <f>P378+R368</f>
        <v>-1459</v>
      </c>
      <c r="T368" s="112"/>
      <c r="U368" s="111"/>
      <c r="V368" s="48">
        <f>S378+U368</f>
        <v>-1459</v>
      </c>
      <c r="W368" s="143"/>
    </row>
    <row r="369" spans="1:23" ht="15.75" customHeight="1">
      <c r="A369" s="114"/>
      <c r="B369" s="106"/>
      <c r="C369" s="107"/>
      <c r="D369" s="20">
        <f t="shared" ref="D369:D378" si="217">D368+C369</f>
        <v>-1459</v>
      </c>
      <c r="E369" s="118"/>
      <c r="F369" s="117"/>
      <c r="G369" s="19">
        <f t="shared" ref="G369:G378" si="218">G368+F369</f>
        <v>-1459</v>
      </c>
      <c r="H369" s="116"/>
      <c r="I369" s="107"/>
      <c r="J369" s="26">
        <f t="shared" ref="J369:J378" si="219">J368+I369</f>
        <v>-1459</v>
      </c>
      <c r="K369" s="117"/>
      <c r="L369" s="117"/>
      <c r="M369" s="38">
        <f t="shared" ref="M369:M378" si="220">M368+L369</f>
        <v>-1459</v>
      </c>
      <c r="N369" s="106"/>
      <c r="O369" s="107"/>
      <c r="P369" s="26">
        <f t="shared" ref="P369:P378" si="221">P368+O369</f>
        <v>-1459</v>
      </c>
      <c r="Q369" s="117"/>
      <c r="R369" s="117"/>
      <c r="S369" s="38">
        <f t="shared" ref="S369:S378" si="222">S368+R369</f>
        <v>-1459</v>
      </c>
      <c r="T369" s="106"/>
      <c r="U369" s="107"/>
      <c r="V369" s="20">
        <f t="shared" ref="V369:V378" si="223">V368+U369</f>
        <v>-1459</v>
      </c>
      <c r="W369" s="143"/>
    </row>
    <row r="370" spans="1:23" ht="15.75" customHeight="1">
      <c r="A370" s="114"/>
      <c r="B370" s="106"/>
      <c r="C370" s="107"/>
      <c r="D370" s="20">
        <f t="shared" si="217"/>
        <v>-1459</v>
      </c>
      <c r="E370" s="118"/>
      <c r="F370" s="117"/>
      <c r="G370" s="19">
        <f t="shared" si="218"/>
        <v>-1459</v>
      </c>
      <c r="H370" s="116"/>
      <c r="I370" s="107"/>
      <c r="J370" s="26">
        <f t="shared" si="219"/>
        <v>-1459</v>
      </c>
      <c r="K370" s="117"/>
      <c r="L370" s="117"/>
      <c r="M370" s="38">
        <f t="shared" si="220"/>
        <v>-1459</v>
      </c>
      <c r="N370" s="106"/>
      <c r="O370" s="107"/>
      <c r="P370" s="26">
        <f t="shared" si="221"/>
        <v>-1459</v>
      </c>
      <c r="Q370" s="117"/>
      <c r="R370" s="117"/>
      <c r="S370" s="38">
        <f t="shared" si="222"/>
        <v>-1459</v>
      </c>
      <c r="T370" s="106"/>
      <c r="U370" s="116"/>
      <c r="V370" s="20">
        <f t="shared" si="223"/>
        <v>-1459</v>
      </c>
      <c r="W370" s="143"/>
    </row>
    <row r="371" spans="1:23" ht="15.75" customHeight="1">
      <c r="A371" s="114"/>
      <c r="B371" s="106"/>
      <c r="C371" s="107"/>
      <c r="D371" s="20">
        <f t="shared" si="217"/>
        <v>-1459</v>
      </c>
      <c r="E371" s="118"/>
      <c r="F371" s="117"/>
      <c r="G371" s="19">
        <f t="shared" si="218"/>
        <v>-1459</v>
      </c>
      <c r="H371" s="116"/>
      <c r="I371" s="107"/>
      <c r="J371" s="26">
        <f t="shared" si="219"/>
        <v>-1459</v>
      </c>
      <c r="K371" s="117"/>
      <c r="L371" s="117"/>
      <c r="M371" s="38">
        <f t="shared" si="220"/>
        <v>-1459</v>
      </c>
      <c r="N371" s="106"/>
      <c r="O371" s="107"/>
      <c r="P371" s="26">
        <f t="shared" si="221"/>
        <v>-1459</v>
      </c>
      <c r="Q371" s="117"/>
      <c r="R371" s="117"/>
      <c r="S371" s="38">
        <f t="shared" si="222"/>
        <v>-1459</v>
      </c>
      <c r="T371" s="106"/>
      <c r="U371" s="116"/>
      <c r="V371" s="20">
        <f t="shared" si="223"/>
        <v>-1459</v>
      </c>
      <c r="W371" s="143"/>
    </row>
    <row r="372" spans="1:23" ht="15.75" customHeight="1">
      <c r="A372" s="114"/>
      <c r="B372" s="106"/>
      <c r="C372" s="107"/>
      <c r="D372" s="20">
        <f t="shared" si="217"/>
        <v>-1459</v>
      </c>
      <c r="E372" s="118"/>
      <c r="F372" s="117"/>
      <c r="G372" s="19">
        <f t="shared" si="218"/>
        <v>-1459</v>
      </c>
      <c r="H372" s="116"/>
      <c r="I372" s="107"/>
      <c r="J372" s="26">
        <f t="shared" si="219"/>
        <v>-1459</v>
      </c>
      <c r="K372" s="117"/>
      <c r="L372" s="117"/>
      <c r="M372" s="38">
        <f t="shared" si="220"/>
        <v>-1459</v>
      </c>
      <c r="N372" s="106"/>
      <c r="O372" s="107"/>
      <c r="P372" s="26">
        <f t="shared" si="221"/>
        <v>-1459</v>
      </c>
      <c r="Q372" s="117"/>
      <c r="R372" s="117"/>
      <c r="S372" s="38">
        <f t="shared" si="222"/>
        <v>-1459</v>
      </c>
      <c r="T372" s="106"/>
      <c r="U372" s="116"/>
      <c r="V372" s="20">
        <f t="shared" si="223"/>
        <v>-1459</v>
      </c>
      <c r="W372" s="143"/>
    </row>
    <row r="373" spans="1:23" ht="15.75" customHeight="1">
      <c r="A373" s="114"/>
      <c r="B373" s="106"/>
      <c r="C373" s="107"/>
      <c r="D373" s="20">
        <f t="shared" si="217"/>
        <v>-1459</v>
      </c>
      <c r="E373" s="118"/>
      <c r="F373" s="117"/>
      <c r="G373" s="19">
        <f t="shared" si="218"/>
        <v>-1459</v>
      </c>
      <c r="H373" s="116"/>
      <c r="I373" s="107"/>
      <c r="J373" s="26">
        <f t="shared" si="219"/>
        <v>-1459</v>
      </c>
      <c r="K373" s="117"/>
      <c r="L373" s="117"/>
      <c r="M373" s="38">
        <f t="shared" si="220"/>
        <v>-1459</v>
      </c>
      <c r="N373" s="106"/>
      <c r="O373" s="107"/>
      <c r="P373" s="26">
        <f t="shared" si="221"/>
        <v>-1459</v>
      </c>
      <c r="Q373" s="117"/>
      <c r="R373" s="117"/>
      <c r="S373" s="38">
        <f t="shared" si="222"/>
        <v>-1459</v>
      </c>
      <c r="T373" s="106"/>
      <c r="U373" s="116"/>
      <c r="V373" s="20">
        <f t="shared" si="223"/>
        <v>-1459</v>
      </c>
      <c r="W373" s="143"/>
    </row>
    <row r="374" spans="1:23" ht="15.75" customHeight="1">
      <c r="A374" s="114"/>
      <c r="B374" s="106"/>
      <c r="C374" s="107"/>
      <c r="D374" s="20">
        <f t="shared" si="217"/>
        <v>-1459</v>
      </c>
      <c r="E374" s="118"/>
      <c r="F374" s="117"/>
      <c r="G374" s="19">
        <f t="shared" si="218"/>
        <v>-1459</v>
      </c>
      <c r="H374" s="116"/>
      <c r="I374" s="107"/>
      <c r="J374" s="26">
        <f t="shared" si="219"/>
        <v>-1459</v>
      </c>
      <c r="K374" s="117"/>
      <c r="L374" s="117"/>
      <c r="M374" s="38">
        <f t="shared" si="220"/>
        <v>-1459</v>
      </c>
      <c r="N374" s="106"/>
      <c r="O374" s="107"/>
      <c r="P374" s="26">
        <f t="shared" si="221"/>
        <v>-1459</v>
      </c>
      <c r="Q374" s="117"/>
      <c r="R374" s="117"/>
      <c r="S374" s="38">
        <f t="shared" si="222"/>
        <v>-1459</v>
      </c>
      <c r="T374" s="106"/>
      <c r="U374" s="116"/>
      <c r="V374" s="20">
        <f t="shared" si="223"/>
        <v>-1459</v>
      </c>
      <c r="W374" s="143"/>
    </row>
    <row r="375" spans="1:23" ht="15.75" customHeight="1">
      <c r="A375" s="114"/>
      <c r="B375" s="106"/>
      <c r="C375" s="107"/>
      <c r="D375" s="20">
        <f t="shared" si="217"/>
        <v>-1459</v>
      </c>
      <c r="E375" s="118"/>
      <c r="F375" s="117"/>
      <c r="G375" s="19">
        <f t="shared" si="218"/>
        <v>-1459</v>
      </c>
      <c r="H375" s="116"/>
      <c r="I375" s="107"/>
      <c r="J375" s="26">
        <f t="shared" si="219"/>
        <v>-1459</v>
      </c>
      <c r="K375" s="117"/>
      <c r="L375" s="117"/>
      <c r="M375" s="38">
        <f t="shared" si="220"/>
        <v>-1459</v>
      </c>
      <c r="N375" s="106"/>
      <c r="O375" s="107"/>
      <c r="P375" s="26">
        <f t="shared" si="221"/>
        <v>-1459</v>
      </c>
      <c r="Q375" s="117"/>
      <c r="R375" s="117"/>
      <c r="S375" s="38">
        <f t="shared" si="222"/>
        <v>-1459</v>
      </c>
      <c r="T375" s="106"/>
      <c r="U375" s="116"/>
      <c r="V375" s="20">
        <f t="shared" si="223"/>
        <v>-1459</v>
      </c>
      <c r="W375" s="143"/>
    </row>
    <row r="376" spans="1:23" ht="15.75" customHeight="1">
      <c r="A376" s="114"/>
      <c r="B376" s="122"/>
      <c r="C376" s="123"/>
      <c r="D376" s="20">
        <f t="shared" si="217"/>
        <v>-1459</v>
      </c>
      <c r="E376" s="118"/>
      <c r="F376" s="117"/>
      <c r="G376" s="19">
        <f t="shared" si="218"/>
        <v>-1459</v>
      </c>
      <c r="H376" s="124"/>
      <c r="I376" s="123"/>
      <c r="J376" s="26">
        <f t="shared" si="219"/>
        <v>-1459</v>
      </c>
      <c r="K376" s="117"/>
      <c r="L376" s="117"/>
      <c r="M376" s="38">
        <f t="shared" si="220"/>
        <v>-1459</v>
      </c>
      <c r="N376" s="122"/>
      <c r="O376" s="123"/>
      <c r="P376" s="26">
        <f t="shared" si="221"/>
        <v>-1459</v>
      </c>
      <c r="Q376" s="117"/>
      <c r="R376" s="117"/>
      <c r="S376" s="38">
        <f t="shared" si="222"/>
        <v>-1459</v>
      </c>
      <c r="T376" s="106"/>
      <c r="U376" s="116"/>
      <c r="V376" s="20">
        <f t="shared" si="223"/>
        <v>-1459</v>
      </c>
      <c r="W376" s="143"/>
    </row>
    <row r="377" spans="1:23" ht="15.75" customHeight="1">
      <c r="A377" s="114"/>
      <c r="B377" s="122"/>
      <c r="C377" s="123"/>
      <c r="D377" s="20">
        <f t="shared" si="217"/>
        <v>-1459</v>
      </c>
      <c r="E377" s="118"/>
      <c r="F377" s="117"/>
      <c r="G377" s="19">
        <f t="shared" si="218"/>
        <v>-1459</v>
      </c>
      <c r="H377" s="124"/>
      <c r="I377" s="123"/>
      <c r="J377" s="26">
        <f t="shared" si="219"/>
        <v>-1459</v>
      </c>
      <c r="K377" s="117"/>
      <c r="L377" s="117"/>
      <c r="M377" s="38">
        <f t="shared" si="220"/>
        <v>-1459</v>
      </c>
      <c r="N377" s="122"/>
      <c r="O377" s="123"/>
      <c r="P377" s="26">
        <f t="shared" si="221"/>
        <v>-1459</v>
      </c>
      <c r="Q377" s="117"/>
      <c r="R377" s="117"/>
      <c r="S377" s="38">
        <f t="shared" si="222"/>
        <v>-1459</v>
      </c>
      <c r="T377" s="122"/>
      <c r="U377" s="124"/>
      <c r="V377" s="20">
        <f t="shared" si="223"/>
        <v>-1459</v>
      </c>
      <c r="W377" s="143"/>
    </row>
    <row r="378" spans="1:23" ht="15.75" customHeight="1">
      <c r="A378" s="114"/>
      <c r="B378" s="122"/>
      <c r="C378" s="123"/>
      <c r="D378" s="49">
        <f t="shared" si="217"/>
        <v>-1459</v>
      </c>
      <c r="E378" s="154"/>
      <c r="F378" s="128"/>
      <c r="G378" s="29">
        <f t="shared" si="218"/>
        <v>-1459</v>
      </c>
      <c r="H378" s="124"/>
      <c r="I378" s="123"/>
      <c r="J378" s="39">
        <f t="shared" si="219"/>
        <v>-1459</v>
      </c>
      <c r="K378" s="128"/>
      <c r="L378" s="128"/>
      <c r="M378" s="40">
        <f t="shared" si="220"/>
        <v>-1459</v>
      </c>
      <c r="N378" s="122"/>
      <c r="O378" s="123"/>
      <c r="P378" s="39">
        <f t="shared" si="221"/>
        <v>-1459</v>
      </c>
      <c r="Q378" s="128"/>
      <c r="R378" s="128"/>
      <c r="S378" s="40">
        <f t="shared" si="222"/>
        <v>-1459</v>
      </c>
      <c r="T378" s="122"/>
      <c r="U378" s="123"/>
      <c r="V378" s="49">
        <f t="shared" si="223"/>
        <v>-1459</v>
      </c>
      <c r="W378" s="143"/>
    </row>
    <row r="379" spans="1:23" ht="15.75" customHeight="1">
      <c r="A379" s="87"/>
      <c r="B379" s="77">
        <f ca="1">IFERROR(__xludf.DUMMYFUNCTION("DATE(VALUE(LEFT($B$2,4)),VALUE(MID($B$2,6,2)),VALUE(RIGHT($B$2,2)))
+ (VALUE(REGEXEXTRACT(INDIRECT(""A""&amp;ROW()+1),""\d+""))-1)*7
+ INT((COLUMN()-COLUMN($B379))/3)
"),46971)</f>
        <v>46971</v>
      </c>
      <c r="C379" s="81"/>
      <c r="D379" s="82"/>
      <c r="E379" s="77">
        <f ca="1">IFERROR(__xludf.DUMMYFUNCTION("DATE(VALUE(LEFT($B$2,4)),VALUE(MID($B$2,6,2)),VALUE(RIGHT($B$2,2)))
+ (VALUE(REGEXEXTRACT(INDIRECT(""A""&amp;ROW()+1),""\d+""))-1)*7
+ INT((COLUMN()-COLUMN($B379))/3)
"),46972)</f>
        <v>46972</v>
      </c>
      <c r="F379" s="81"/>
      <c r="G379" s="82"/>
      <c r="H379" s="77">
        <f ca="1">IFERROR(__xludf.DUMMYFUNCTION("DATE(VALUE(LEFT($B$2,4)),VALUE(MID($B$2,6,2)),VALUE(RIGHT($B$2,2)))
+ (VALUE(REGEXEXTRACT(INDIRECT(""A""&amp;ROW()+1),""\d+""))-1)*7
+ INT((COLUMN()-COLUMN($B379))/3)
"),46973)</f>
        <v>46973</v>
      </c>
      <c r="I379" s="81"/>
      <c r="J379" s="82"/>
      <c r="K379" s="77">
        <f ca="1">IFERROR(__xludf.DUMMYFUNCTION("DATE(VALUE(LEFT($B$2,4)),VALUE(MID($B$2,6,2)),VALUE(RIGHT($B$2,2)))
+ (VALUE(REGEXEXTRACT(INDIRECT(""A""&amp;ROW()+1),""\d+""))-1)*7
+ INT((COLUMN()-COLUMN($B379))/3)
"),46974)</f>
        <v>46974</v>
      </c>
      <c r="L379" s="81"/>
      <c r="M379" s="82"/>
      <c r="N379" s="77">
        <f ca="1">IFERROR(__xludf.DUMMYFUNCTION("DATE(VALUE(LEFT($B$2,4)),VALUE(MID($B$2,6,2)),VALUE(RIGHT($B$2,2)))
+ (VALUE(REGEXEXTRACT(INDIRECT(""A""&amp;ROW()+1),""\d+""))-1)*7
+ INT((COLUMN()-COLUMN($B379))/3)
"),46975)</f>
        <v>46975</v>
      </c>
      <c r="O379" s="81"/>
      <c r="P379" s="82"/>
      <c r="Q379" s="77">
        <f ca="1">IFERROR(__xludf.DUMMYFUNCTION("DATE(VALUE(LEFT($B$2,4)),VALUE(MID($B$2,6,2)),VALUE(RIGHT($B$2,2)))
+ (VALUE(REGEXEXTRACT(INDIRECT(""A""&amp;ROW()+1),""\d+""))-1)*7
+ INT((COLUMN()-COLUMN($B379))/3)
"),46976)</f>
        <v>46976</v>
      </c>
      <c r="R379" s="81"/>
      <c r="S379" s="82"/>
      <c r="T379" s="77">
        <f ca="1">IFERROR(__xludf.DUMMYFUNCTION("DATE(VALUE(LEFT($B$2,4)),VALUE(MID($B$2,6,2)),VALUE(RIGHT($B$2,2)))
+ (VALUE(REGEXEXTRACT(INDIRECT(""A""&amp;ROW()+1),""\d+""))-1)*7
+ INT((COLUMN()-COLUMN($B379))/3)
"),46977)</f>
        <v>46977</v>
      </c>
      <c r="U379" s="81"/>
      <c r="V379" s="82"/>
      <c r="W379" s="52" t="s">
        <v>20</v>
      </c>
    </row>
    <row r="380" spans="1:23" ht="15.75" customHeight="1">
      <c r="A380" s="47" t="s">
        <v>161</v>
      </c>
      <c r="B380" s="113"/>
      <c r="C380" s="109"/>
      <c r="D380" s="50">
        <f>V378+C380</f>
        <v>-1459</v>
      </c>
      <c r="E380" s="112"/>
      <c r="F380" s="111"/>
      <c r="G380" s="17">
        <f>D390+F380</f>
        <v>-1459</v>
      </c>
      <c r="H380" s="132"/>
      <c r="I380" s="109"/>
      <c r="J380" s="42">
        <f>G390+I380</f>
        <v>-1459</v>
      </c>
      <c r="K380" s="112"/>
      <c r="L380" s="111"/>
      <c r="M380" s="18">
        <f>J390+L380</f>
        <v>-1459</v>
      </c>
      <c r="N380" s="113"/>
      <c r="O380" s="109"/>
      <c r="P380" s="35">
        <f>M390+O380</f>
        <v>-1459</v>
      </c>
      <c r="Q380" s="112"/>
      <c r="R380" s="111"/>
      <c r="S380" s="18">
        <f>P390+R380</f>
        <v>-1459</v>
      </c>
      <c r="T380" s="173"/>
      <c r="U380" s="173"/>
      <c r="V380" s="50">
        <f>S390+U380</f>
        <v>-1459</v>
      </c>
      <c r="W380" s="172"/>
    </row>
    <row r="381" spans="1:23" ht="15.75" customHeight="1">
      <c r="A381" s="114"/>
      <c r="B381" s="118"/>
      <c r="C381" s="117"/>
      <c r="D381" s="45">
        <f t="shared" ref="D381:D390" si="224">D380+C381</f>
        <v>-1459</v>
      </c>
      <c r="E381" s="106"/>
      <c r="F381" s="107"/>
      <c r="G381" s="26">
        <f t="shared" ref="G381:G390" si="225">G380+F381</f>
        <v>-1459</v>
      </c>
      <c r="H381" s="133"/>
      <c r="I381" s="117"/>
      <c r="J381" s="19">
        <f t="shared" ref="J381:J390" si="226">J380+I381</f>
        <v>-1459</v>
      </c>
      <c r="K381" s="106"/>
      <c r="L381" s="107"/>
      <c r="M381" s="26">
        <f t="shared" ref="M381:M390" si="227">M380+L381</f>
        <v>-1459</v>
      </c>
      <c r="N381" s="118"/>
      <c r="O381" s="117"/>
      <c r="P381" s="38">
        <f t="shared" ref="P381:P390" si="228">P380+O381</f>
        <v>-1459</v>
      </c>
      <c r="Q381" s="106"/>
      <c r="R381" s="107"/>
      <c r="S381" s="26">
        <f t="shared" ref="S381:S390" si="229">S380+R381</f>
        <v>-1459</v>
      </c>
      <c r="T381" s="136"/>
      <c r="U381" s="136"/>
      <c r="V381" s="45">
        <f t="shared" ref="V381:V390" si="230">V380+U381</f>
        <v>-1459</v>
      </c>
      <c r="W381" s="143"/>
    </row>
    <row r="382" spans="1:23" ht="15.75" customHeight="1">
      <c r="A382" s="114"/>
      <c r="B382" s="118"/>
      <c r="C382" s="117"/>
      <c r="D382" s="45">
        <f t="shared" si="224"/>
        <v>-1459</v>
      </c>
      <c r="E382" s="106"/>
      <c r="F382" s="107"/>
      <c r="G382" s="26">
        <f t="shared" si="225"/>
        <v>-1459</v>
      </c>
      <c r="H382" s="133"/>
      <c r="I382" s="117"/>
      <c r="J382" s="19">
        <f t="shared" si="226"/>
        <v>-1459</v>
      </c>
      <c r="K382" s="106"/>
      <c r="L382" s="107"/>
      <c r="M382" s="26">
        <f t="shared" si="227"/>
        <v>-1459</v>
      </c>
      <c r="N382" s="117"/>
      <c r="O382" s="117"/>
      <c r="P382" s="38">
        <f t="shared" si="228"/>
        <v>-1459</v>
      </c>
      <c r="Q382" s="106"/>
      <c r="R382" s="107"/>
      <c r="S382" s="26">
        <f t="shared" si="229"/>
        <v>-1459</v>
      </c>
      <c r="T382" s="136"/>
      <c r="U382" s="136"/>
      <c r="V382" s="45">
        <f t="shared" si="230"/>
        <v>-1459</v>
      </c>
      <c r="W382" s="143"/>
    </row>
    <row r="383" spans="1:23" ht="15.75" customHeight="1">
      <c r="A383" s="114"/>
      <c r="B383" s="118"/>
      <c r="C383" s="117"/>
      <c r="D383" s="45">
        <f t="shared" si="224"/>
        <v>-1459</v>
      </c>
      <c r="E383" s="106"/>
      <c r="F383" s="107"/>
      <c r="G383" s="26">
        <f t="shared" si="225"/>
        <v>-1459</v>
      </c>
      <c r="H383" s="117"/>
      <c r="I383" s="117"/>
      <c r="J383" s="19">
        <f t="shared" si="226"/>
        <v>-1459</v>
      </c>
      <c r="K383" s="106"/>
      <c r="L383" s="107"/>
      <c r="M383" s="26">
        <f t="shared" si="227"/>
        <v>-1459</v>
      </c>
      <c r="N383" s="117"/>
      <c r="O383" s="117"/>
      <c r="P383" s="38">
        <f t="shared" si="228"/>
        <v>-1459</v>
      </c>
      <c r="Q383" s="106"/>
      <c r="R383" s="107"/>
      <c r="S383" s="26">
        <f t="shared" si="229"/>
        <v>-1459</v>
      </c>
      <c r="T383" s="136"/>
      <c r="U383" s="136"/>
      <c r="V383" s="45">
        <f t="shared" si="230"/>
        <v>-1459</v>
      </c>
      <c r="W383" s="143"/>
    </row>
    <row r="384" spans="1:23" ht="15.75" customHeight="1">
      <c r="A384" s="114"/>
      <c r="B384" s="118"/>
      <c r="C384" s="117"/>
      <c r="D384" s="45">
        <f t="shared" si="224"/>
        <v>-1459</v>
      </c>
      <c r="E384" s="106"/>
      <c r="F384" s="107"/>
      <c r="G384" s="26">
        <f t="shared" si="225"/>
        <v>-1459</v>
      </c>
      <c r="H384" s="117"/>
      <c r="I384" s="117"/>
      <c r="J384" s="19">
        <f t="shared" si="226"/>
        <v>-1459</v>
      </c>
      <c r="K384" s="106"/>
      <c r="L384" s="107"/>
      <c r="M384" s="26">
        <f t="shared" si="227"/>
        <v>-1459</v>
      </c>
      <c r="N384" s="117"/>
      <c r="O384" s="117"/>
      <c r="P384" s="38">
        <f t="shared" si="228"/>
        <v>-1459</v>
      </c>
      <c r="Q384" s="106"/>
      <c r="R384" s="107"/>
      <c r="S384" s="26">
        <f t="shared" si="229"/>
        <v>-1459</v>
      </c>
      <c r="T384" s="136"/>
      <c r="U384" s="136"/>
      <c r="V384" s="45">
        <f t="shared" si="230"/>
        <v>-1459</v>
      </c>
      <c r="W384" s="143"/>
    </row>
    <row r="385" spans="1:23" ht="15.75" customHeight="1">
      <c r="A385" s="114"/>
      <c r="B385" s="118"/>
      <c r="C385" s="117"/>
      <c r="D385" s="45">
        <f t="shared" si="224"/>
        <v>-1459</v>
      </c>
      <c r="E385" s="106"/>
      <c r="F385" s="107"/>
      <c r="G385" s="26">
        <f t="shared" si="225"/>
        <v>-1459</v>
      </c>
      <c r="H385" s="117"/>
      <c r="I385" s="117"/>
      <c r="J385" s="19">
        <f t="shared" si="226"/>
        <v>-1459</v>
      </c>
      <c r="K385" s="106"/>
      <c r="L385" s="107"/>
      <c r="M385" s="26">
        <f t="shared" si="227"/>
        <v>-1459</v>
      </c>
      <c r="N385" s="117"/>
      <c r="O385" s="117"/>
      <c r="P385" s="38">
        <f t="shared" si="228"/>
        <v>-1459</v>
      </c>
      <c r="Q385" s="106"/>
      <c r="R385" s="107"/>
      <c r="S385" s="26">
        <f t="shared" si="229"/>
        <v>-1459</v>
      </c>
      <c r="T385" s="136"/>
      <c r="U385" s="136"/>
      <c r="V385" s="45">
        <f t="shared" si="230"/>
        <v>-1459</v>
      </c>
      <c r="W385" s="143"/>
    </row>
    <row r="386" spans="1:23" ht="15.75" customHeight="1">
      <c r="A386" s="114"/>
      <c r="B386" s="118"/>
      <c r="C386" s="117"/>
      <c r="D386" s="45">
        <f t="shared" si="224"/>
        <v>-1459</v>
      </c>
      <c r="E386" s="106"/>
      <c r="F386" s="107"/>
      <c r="G386" s="26">
        <f t="shared" si="225"/>
        <v>-1459</v>
      </c>
      <c r="H386" s="117"/>
      <c r="I386" s="117"/>
      <c r="J386" s="19">
        <f t="shared" si="226"/>
        <v>-1459</v>
      </c>
      <c r="K386" s="106"/>
      <c r="L386" s="107"/>
      <c r="M386" s="26">
        <f t="shared" si="227"/>
        <v>-1459</v>
      </c>
      <c r="N386" s="117"/>
      <c r="O386" s="117"/>
      <c r="P386" s="38">
        <f t="shared" si="228"/>
        <v>-1459</v>
      </c>
      <c r="Q386" s="106"/>
      <c r="R386" s="107"/>
      <c r="S386" s="26">
        <f t="shared" si="229"/>
        <v>-1459</v>
      </c>
      <c r="T386" s="136"/>
      <c r="U386" s="136"/>
      <c r="V386" s="45">
        <f t="shared" si="230"/>
        <v>-1459</v>
      </c>
      <c r="W386" s="143"/>
    </row>
    <row r="387" spans="1:23" ht="15.75" customHeight="1">
      <c r="A387" s="114"/>
      <c r="B387" s="117"/>
      <c r="C387" s="117"/>
      <c r="D387" s="45">
        <f t="shared" si="224"/>
        <v>-1459</v>
      </c>
      <c r="E387" s="106"/>
      <c r="F387" s="107"/>
      <c r="G387" s="26">
        <f t="shared" si="225"/>
        <v>-1459</v>
      </c>
      <c r="H387" s="117"/>
      <c r="I387" s="117"/>
      <c r="J387" s="19">
        <f t="shared" si="226"/>
        <v>-1459</v>
      </c>
      <c r="K387" s="106"/>
      <c r="L387" s="107"/>
      <c r="M387" s="26">
        <f t="shared" si="227"/>
        <v>-1459</v>
      </c>
      <c r="N387" s="117"/>
      <c r="O387" s="117"/>
      <c r="P387" s="38">
        <f t="shared" si="228"/>
        <v>-1459</v>
      </c>
      <c r="Q387" s="106"/>
      <c r="R387" s="107"/>
      <c r="S387" s="26">
        <f t="shared" si="229"/>
        <v>-1459</v>
      </c>
      <c r="T387" s="136"/>
      <c r="U387" s="136"/>
      <c r="V387" s="45">
        <f t="shared" si="230"/>
        <v>-1459</v>
      </c>
      <c r="W387" s="143"/>
    </row>
    <row r="388" spans="1:23" ht="15.75" customHeight="1">
      <c r="A388" s="114"/>
      <c r="B388" s="117"/>
      <c r="C388" s="117"/>
      <c r="D388" s="45">
        <f t="shared" si="224"/>
        <v>-1459</v>
      </c>
      <c r="E388" s="106"/>
      <c r="F388" s="107"/>
      <c r="G388" s="26">
        <f t="shared" si="225"/>
        <v>-1459</v>
      </c>
      <c r="H388" s="117"/>
      <c r="I388" s="117"/>
      <c r="J388" s="19">
        <f t="shared" si="226"/>
        <v>-1459</v>
      </c>
      <c r="K388" s="106"/>
      <c r="L388" s="107"/>
      <c r="M388" s="26">
        <f t="shared" si="227"/>
        <v>-1459</v>
      </c>
      <c r="N388" s="117"/>
      <c r="O388" s="117"/>
      <c r="P388" s="38">
        <f t="shared" si="228"/>
        <v>-1459</v>
      </c>
      <c r="Q388" s="106"/>
      <c r="R388" s="107"/>
      <c r="S388" s="26">
        <f t="shared" si="229"/>
        <v>-1459</v>
      </c>
      <c r="T388" s="136"/>
      <c r="U388" s="136"/>
      <c r="V388" s="45">
        <f t="shared" si="230"/>
        <v>-1459</v>
      </c>
      <c r="W388" s="143"/>
    </row>
    <row r="389" spans="1:23" ht="15.75" customHeight="1">
      <c r="A389" s="114"/>
      <c r="B389" s="117"/>
      <c r="C389" s="117"/>
      <c r="D389" s="45">
        <f t="shared" si="224"/>
        <v>-1459</v>
      </c>
      <c r="E389" s="122"/>
      <c r="F389" s="123"/>
      <c r="G389" s="26">
        <f t="shared" si="225"/>
        <v>-1459</v>
      </c>
      <c r="H389" s="133"/>
      <c r="I389" s="117"/>
      <c r="J389" s="19">
        <f t="shared" si="226"/>
        <v>-1459</v>
      </c>
      <c r="K389" s="122"/>
      <c r="L389" s="123"/>
      <c r="M389" s="26">
        <f t="shared" si="227"/>
        <v>-1459</v>
      </c>
      <c r="N389" s="117"/>
      <c r="O389" s="117"/>
      <c r="P389" s="38">
        <f t="shared" si="228"/>
        <v>-1459</v>
      </c>
      <c r="Q389" s="122"/>
      <c r="R389" s="123"/>
      <c r="S389" s="26">
        <f t="shared" si="229"/>
        <v>-1459</v>
      </c>
      <c r="T389" s="136"/>
      <c r="U389" s="136"/>
      <c r="V389" s="45">
        <f t="shared" si="230"/>
        <v>-1459</v>
      </c>
      <c r="W389" s="143"/>
    </row>
    <row r="390" spans="1:23" ht="15.75" customHeight="1">
      <c r="A390" s="114"/>
      <c r="B390" s="128"/>
      <c r="C390" s="128"/>
      <c r="D390" s="46">
        <f t="shared" si="224"/>
        <v>-1459</v>
      </c>
      <c r="E390" s="122"/>
      <c r="F390" s="123"/>
      <c r="G390" s="39">
        <f t="shared" si="225"/>
        <v>-1459</v>
      </c>
      <c r="H390" s="140"/>
      <c r="I390" s="128"/>
      <c r="J390" s="29">
        <f t="shared" si="226"/>
        <v>-1459</v>
      </c>
      <c r="K390" s="122"/>
      <c r="L390" s="123"/>
      <c r="M390" s="39">
        <f t="shared" si="227"/>
        <v>-1459</v>
      </c>
      <c r="N390" s="128"/>
      <c r="O390" s="128"/>
      <c r="P390" s="40">
        <f t="shared" si="228"/>
        <v>-1459</v>
      </c>
      <c r="Q390" s="122"/>
      <c r="R390" s="123"/>
      <c r="S390" s="39">
        <f t="shared" si="229"/>
        <v>-1459</v>
      </c>
      <c r="T390" s="141"/>
      <c r="U390" s="141"/>
      <c r="V390" s="46">
        <f t="shared" si="230"/>
        <v>-1459</v>
      </c>
      <c r="W390" s="143"/>
    </row>
    <row r="391" spans="1:23" ht="15.75" customHeight="1">
      <c r="A391" s="87"/>
      <c r="B391" s="77">
        <f ca="1">IFERROR(__xludf.DUMMYFUNCTION("DATE(VALUE(LEFT($B$2,4)),VALUE(MID($B$2,6,2)),VALUE(RIGHT($B$2,2)))
+ (VALUE(REGEXEXTRACT(INDIRECT(""A""&amp;ROW()+1),""\d+""))-1)*7
+ INT((COLUMN()-COLUMN($B391))/3)
"),46978)</f>
        <v>46978</v>
      </c>
      <c r="C391" s="81"/>
      <c r="D391" s="82"/>
      <c r="E391" s="77">
        <f ca="1">IFERROR(__xludf.DUMMYFUNCTION("DATE(VALUE(LEFT($B$2,4)),VALUE(MID($B$2,6,2)),VALUE(RIGHT($B$2,2)))
+ (VALUE(REGEXEXTRACT(INDIRECT(""A""&amp;ROW()+1),""\d+""))-1)*7
+ INT((COLUMN()-COLUMN($B391))/3)
"),46979)</f>
        <v>46979</v>
      </c>
      <c r="F391" s="81"/>
      <c r="G391" s="82"/>
      <c r="H391" s="77">
        <f ca="1">IFERROR(__xludf.DUMMYFUNCTION("DATE(VALUE(LEFT($B$2,4)),VALUE(MID($B$2,6,2)),VALUE(RIGHT($B$2,2)))
+ (VALUE(REGEXEXTRACT(INDIRECT(""A""&amp;ROW()+1),""\d+""))-1)*7
+ INT((COLUMN()-COLUMN($B391))/3)
"),46980)</f>
        <v>46980</v>
      </c>
      <c r="I391" s="81"/>
      <c r="J391" s="82"/>
      <c r="K391" s="77">
        <f ca="1">IFERROR(__xludf.DUMMYFUNCTION("DATE(VALUE(LEFT($B$2,4)),VALUE(MID($B$2,6,2)),VALUE(RIGHT($B$2,2)))
+ (VALUE(REGEXEXTRACT(INDIRECT(""A""&amp;ROW()+1),""\d+""))-1)*7
+ INT((COLUMN()-COLUMN($B391))/3)
"),46981)</f>
        <v>46981</v>
      </c>
      <c r="L391" s="81"/>
      <c r="M391" s="82"/>
      <c r="N391" s="77">
        <f ca="1">IFERROR(__xludf.DUMMYFUNCTION("DATE(VALUE(LEFT($B$2,4)),VALUE(MID($B$2,6,2)),VALUE(RIGHT($B$2,2)))
+ (VALUE(REGEXEXTRACT(INDIRECT(""A""&amp;ROW()+1),""\d+""))-1)*7
+ INT((COLUMN()-COLUMN($B391))/3)
"),46982)</f>
        <v>46982</v>
      </c>
      <c r="O391" s="81"/>
      <c r="P391" s="82"/>
      <c r="Q391" s="77">
        <f ca="1">IFERROR(__xludf.DUMMYFUNCTION("DATE(VALUE(LEFT($B$2,4)),VALUE(MID($B$2,6,2)),VALUE(RIGHT($B$2,2)))
+ (VALUE(REGEXEXTRACT(INDIRECT(""A""&amp;ROW()+1),""\d+""))-1)*7
+ INT((COLUMN()-COLUMN($B391))/3)
"),46983)</f>
        <v>46983</v>
      </c>
      <c r="R391" s="81"/>
      <c r="S391" s="82"/>
      <c r="T391" s="77">
        <f ca="1">IFERROR(__xludf.DUMMYFUNCTION("DATE(VALUE(LEFT($B$2,4)),VALUE(MID($B$2,6,2)),VALUE(RIGHT($B$2,2)))
+ (VALUE(REGEXEXTRACT(INDIRECT(""A""&amp;ROW()+1),""\d+""))-1)*7
+ INT((COLUMN()-COLUMN($B391))/3)
"),46984)</f>
        <v>46984</v>
      </c>
      <c r="U391" s="81"/>
      <c r="V391" s="82"/>
      <c r="W391" s="143"/>
    </row>
    <row r="392" spans="1:23" ht="15.75" customHeight="1">
      <c r="A392" s="51" t="s">
        <v>162</v>
      </c>
      <c r="B392" s="112"/>
      <c r="C392" s="111"/>
      <c r="D392" s="48">
        <f>V390+C392</f>
        <v>-1459</v>
      </c>
      <c r="E392" s="113"/>
      <c r="F392" s="109"/>
      <c r="G392" s="42">
        <f>D402+F392</f>
        <v>-1459</v>
      </c>
      <c r="H392" s="110"/>
      <c r="I392" s="111"/>
      <c r="J392" s="17">
        <f>G402+I392</f>
        <v>-1459</v>
      </c>
      <c r="K392" s="109"/>
      <c r="L392" s="109"/>
      <c r="M392" s="35">
        <f>J402+L392</f>
        <v>-1459</v>
      </c>
      <c r="N392" s="112"/>
      <c r="O392" s="111"/>
      <c r="P392" s="17">
        <f>M402+O392</f>
        <v>-1459</v>
      </c>
      <c r="Q392" s="109"/>
      <c r="R392" s="109"/>
      <c r="S392" s="35">
        <f>P402+R392</f>
        <v>-1459</v>
      </c>
      <c r="T392" s="112"/>
      <c r="U392" s="111"/>
      <c r="V392" s="48">
        <f>S402+U392</f>
        <v>-1459</v>
      </c>
      <c r="W392" s="143"/>
    </row>
    <row r="393" spans="1:23" ht="15.75" customHeight="1">
      <c r="A393" s="114"/>
      <c r="B393" s="106"/>
      <c r="C393" s="107"/>
      <c r="D393" s="20">
        <f t="shared" ref="D393:D402" si="231">D392+C393</f>
        <v>-1459</v>
      </c>
      <c r="E393" s="118"/>
      <c r="F393" s="117"/>
      <c r="G393" s="19">
        <f t="shared" ref="G393:G402" si="232">G392+F393</f>
        <v>-1459</v>
      </c>
      <c r="H393" s="116"/>
      <c r="I393" s="107"/>
      <c r="J393" s="26">
        <f t="shared" ref="J393:J402" si="233">J392+I393</f>
        <v>-1459</v>
      </c>
      <c r="K393" s="117"/>
      <c r="L393" s="117"/>
      <c r="M393" s="38">
        <f t="shared" ref="M393:M402" si="234">M392+L393</f>
        <v>-1459</v>
      </c>
      <c r="N393" s="106"/>
      <c r="O393" s="107"/>
      <c r="P393" s="26">
        <f t="shared" ref="P393:P402" si="235">P392+O393</f>
        <v>-1459</v>
      </c>
      <c r="Q393" s="117"/>
      <c r="R393" s="117"/>
      <c r="S393" s="38">
        <f t="shared" ref="S393:S402" si="236">S392+R393</f>
        <v>-1459</v>
      </c>
      <c r="T393" s="106"/>
      <c r="U393" s="107"/>
      <c r="V393" s="20">
        <f t="shared" ref="V393:V402" si="237">V392+U393</f>
        <v>-1459</v>
      </c>
      <c r="W393" s="143"/>
    </row>
    <row r="394" spans="1:23" ht="15.75" customHeight="1">
      <c r="A394" s="114"/>
      <c r="B394" s="106"/>
      <c r="C394" s="107"/>
      <c r="D394" s="20">
        <f t="shared" si="231"/>
        <v>-1459</v>
      </c>
      <c r="E394" s="118"/>
      <c r="F394" s="117"/>
      <c r="G394" s="19">
        <f t="shared" si="232"/>
        <v>-1459</v>
      </c>
      <c r="H394" s="116"/>
      <c r="I394" s="107"/>
      <c r="J394" s="26">
        <f t="shared" si="233"/>
        <v>-1459</v>
      </c>
      <c r="K394" s="117"/>
      <c r="L394" s="117"/>
      <c r="M394" s="38">
        <f t="shared" si="234"/>
        <v>-1459</v>
      </c>
      <c r="N394" s="106"/>
      <c r="O394" s="107"/>
      <c r="P394" s="26">
        <f t="shared" si="235"/>
        <v>-1459</v>
      </c>
      <c r="Q394" s="117"/>
      <c r="R394" s="117"/>
      <c r="S394" s="38">
        <f t="shared" si="236"/>
        <v>-1459</v>
      </c>
      <c r="T394" s="106"/>
      <c r="U394" s="116"/>
      <c r="V394" s="20">
        <f t="shared" si="237"/>
        <v>-1459</v>
      </c>
      <c r="W394" s="143"/>
    </row>
    <row r="395" spans="1:23" ht="15.75" customHeight="1">
      <c r="A395" s="114"/>
      <c r="B395" s="106"/>
      <c r="C395" s="107"/>
      <c r="D395" s="20">
        <f t="shared" si="231"/>
        <v>-1459</v>
      </c>
      <c r="E395" s="118"/>
      <c r="F395" s="117"/>
      <c r="G395" s="19">
        <f t="shared" si="232"/>
        <v>-1459</v>
      </c>
      <c r="H395" s="116"/>
      <c r="I395" s="107"/>
      <c r="J395" s="26">
        <f t="shared" si="233"/>
        <v>-1459</v>
      </c>
      <c r="K395" s="117"/>
      <c r="L395" s="117"/>
      <c r="M395" s="38">
        <f t="shared" si="234"/>
        <v>-1459</v>
      </c>
      <c r="N395" s="106"/>
      <c r="O395" s="107"/>
      <c r="P395" s="26">
        <f t="shared" si="235"/>
        <v>-1459</v>
      </c>
      <c r="Q395" s="117"/>
      <c r="R395" s="117"/>
      <c r="S395" s="38">
        <f t="shared" si="236"/>
        <v>-1459</v>
      </c>
      <c r="T395" s="106"/>
      <c r="U395" s="116"/>
      <c r="V395" s="20">
        <f t="shared" si="237"/>
        <v>-1459</v>
      </c>
      <c r="W395" s="143"/>
    </row>
    <row r="396" spans="1:23" ht="15.75" customHeight="1">
      <c r="A396" s="114"/>
      <c r="B396" s="106"/>
      <c r="C396" s="107"/>
      <c r="D396" s="20">
        <f t="shared" si="231"/>
        <v>-1459</v>
      </c>
      <c r="E396" s="118"/>
      <c r="F396" s="117"/>
      <c r="G396" s="19">
        <f t="shared" si="232"/>
        <v>-1459</v>
      </c>
      <c r="H396" s="116"/>
      <c r="I396" s="107"/>
      <c r="J396" s="26">
        <f t="shared" si="233"/>
        <v>-1459</v>
      </c>
      <c r="K396" s="117"/>
      <c r="L396" s="117"/>
      <c r="M396" s="38">
        <f t="shared" si="234"/>
        <v>-1459</v>
      </c>
      <c r="N396" s="106"/>
      <c r="O396" s="107"/>
      <c r="P396" s="26">
        <f t="shared" si="235"/>
        <v>-1459</v>
      </c>
      <c r="Q396" s="117"/>
      <c r="R396" s="117"/>
      <c r="S396" s="38">
        <f t="shared" si="236"/>
        <v>-1459</v>
      </c>
      <c r="T396" s="106"/>
      <c r="U396" s="116"/>
      <c r="V396" s="20">
        <f t="shared" si="237"/>
        <v>-1459</v>
      </c>
      <c r="W396" s="143"/>
    </row>
    <row r="397" spans="1:23" ht="15.75" customHeight="1">
      <c r="A397" s="114"/>
      <c r="B397" s="106"/>
      <c r="C397" s="107"/>
      <c r="D397" s="20">
        <f t="shared" si="231"/>
        <v>-1459</v>
      </c>
      <c r="E397" s="118"/>
      <c r="F397" s="117"/>
      <c r="G397" s="19">
        <f t="shared" si="232"/>
        <v>-1459</v>
      </c>
      <c r="H397" s="116"/>
      <c r="I397" s="107"/>
      <c r="J397" s="26">
        <f t="shared" si="233"/>
        <v>-1459</v>
      </c>
      <c r="K397" s="117"/>
      <c r="L397" s="117"/>
      <c r="M397" s="38">
        <f t="shared" si="234"/>
        <v>-1459</v>
      </c>
      <c r="N397" s="106"/>
      <c r="O397" s="107"/>
      <c r="P397" s="26">
        <f t="shared" si="235"/>
        <v>-1459</v>
      </c>
      <c r="Q397" s="117"/>
      <c r="R397" s="117"/>
      <c r="S397" s="38">
        <f t="shared" si="236"/>
        <v>-1459</v>
      </c>
      <c r="T397" s="106"/>
      <c r="U397" s="116"/>
      <c r="V397" s="20">
        <f t="shared" si="237"/>
        <v>-1459</v>
      </c>
      <c r="W397" s="143"/>
    </row>
    <row r="398" spans="1:23" ht="15.75" customHeight="1">
      <c r="A398" s="114"/>
      <c r="B398" s="106"/>
      <c r="C398" s="107"/>
      <c r="D398" s="20">
        <f t="shared" si="231"/>
        <v>-1459</v>
      </c>
      <c r="E398" s="118"/>
      <c r="F398" s="117"/>
      <c r="G398" s="19">
        <f t="shared" si="232"/>
        <v>-1459</v>
      </c>
      <c r="H398" s="116"/>
      <c r="I398" s="107"/>
      <c r="J398" s="26">
        <f t="shared" si="233"/>
        <v>-1459</v>
      </c>
      <c r="K398" s="117"/>
      <c r="L398" s="117"/>
      <c r="M398" s="38">
        <f t="shared" si="234"/>
        <v>-1459</v>
      </c>
      <c r="N398" s="106"/>
      <c r="O398" s="107"/>
      <c r="P398" s="26">
        <f t="shared" si="235"/>
        <v>-1459</v>
      </c>
      <c r="Q398" s="117"/>
      <c r="R398" s="117"/>
      <c r="S398" s="38">
        <f t="shared" si="236"/>
        <v>-1459</v>
      </c>
      <c r="T398" s="106"/>
      <c r="U398" s="116"/>
      <c r="V398" s="20">
        <f t="shared" si="237"/>
        <v>-1459</v>
      </c>
      <c r="W398" s="143"/>
    </row>
    <row r="399" spans="1:23" ht="15.75" customHeight="1">
      <c r="A399" s="114"/>
      <c r="B399" s="106"/>
      <c r="C399" s="107"/>
      <c r="D399" s="20">
        <f t="shared" si="231"/>
        <v>-1459</v>
      </c>
      <c r="E399" s="118"/>
      <c r="F399" s="117"/>
      <c r="G399" s="19">
        <f t="shared" si="232"/>
        <v>-1459</v>
      </c>
      <c r="H399" s="116"/>
      <c r="I399" s="107"/>
      <c r="J399" s="26">
        <f t="shared" si="233"/>
        <v>-1459</v>
      </c>
      <c r="K399" s="117"/>
      <c r="L399" s="117"/>
      <c r="M399" s="38">
        <f t="shared" si="234"/>
        <v>-1459</v>
      </c>
      <c r="N399" s="106"/>
      <c r="O399" s="107"/>
      <c r="P399" s="26">
        <f t="shared" si="235"/>
        <v>-1459</v>
      </c>
      <c r="Q399" s="117"/>
      <c r="R399" s="117"/>
      <c r="S399" s="38">
        <f t="shared" si="236"/>
        <v>-1459</v>
      </c>
      <c r="T399" s="106"/>
      <c r="U399" s="116"/>
      <c r="V399" s="20">
        <f t="shared" si="237"/>
        <v>-1459</v>
      </c>
      <c r="W399" s="143"/>
    </row>
    <row r="400" spans="1:23" ht="15.75" customHeight="1">
      <c r="A400" s="114"/>
      <c r="B400" s="122"/>
      <c r="C400" s="123"/>
      <c r="D400" s="20">
        <f t="shared" si="231"/>
        <v>-1459</v>
      </c>
      <c r="E400" s="118"/>
      <c r="F400" s="117"/>
      <c r="G400" s="19">
        <f t="shared" si="232"/>
        <v>-1459</v>
      </c>
      <c r="H400" s="124"/>
      <c r="I400" s="123"/>
      <c r="J400" s="26">
        <f t="shared" si="233"/>
        <v>-1459</v>
      </c>
      <c r="K400" s="117"/>
      <c r="L400" s="117"/>
      <c r="M400" s="38">
        <f t="shared" si="234"/>
        <v>-1459</v>
      </c>
      <c r="N400" s="122"/>
      <c r="O400" s="123"/>
      <c r="P400" s="26">
        <f t="shared" si="235"/>
        <v>-1459</v>
      </c>
      <c r="Q400" s="117"/>
      <c r="R400" s="117"/>
      <c r="S400" s="38">
        <f t="shared" si="236"/>
        <v>-1459</v>
      </c>
      <c r="T400" s="106"/>
      <c r="U400" s="116"/>
      <c r="V400" s="20">
        <f t="shared" si="237"/>
        <v>-1459</v>
      </c>
      <c r="W400" s="143"/>
    </row>
    <row r="401" spans="1:23" ht="15.75" customHeight="1">
      <c r="A401" s="114"/>
      <c r="B401" s="122"/>
      <c r="C401" s="123"/>
      <c r="D401" s="20">
        <f t="shared" si="231"/>
        <v>-1459</v>
      </c>
      <c r="E401" s="118"/>
      <c r="F401" s="117"/>
      <c r="G401" s="19">
        <f t="shared" si="232"/>
        <v>-1459</v>
      </c>
      <c r="H401" s="124"/>
      <c r="I401" s="123"/>
      <c r="J401" s="26">
        <f t="shared" si="233"/>
        <v>-1459</v>
      </c>
      <c r="K401" s="117"/>
      <c r="L401" s="117"/>
      <c r="M401" s="38">
        <f t="shared" si="234"/>
        <v>-1459</v>
      </c>
      <c r="N401" s="122"/>
      <c r="O401" s="123"/>
      <c r="P401" s="26">
        <f t="shared" si="235"/>
        <v>-1459</v>
      </c>
      <c r="Q401" s="117"/>
      <c r="R401" s="117"/>
      <c r="S401" s="38">
        <f t="shared" si="236"/>
        <v>-1459</v>
      </c>
      <c r="T401" s="122"/>
      <c r="U401" s="124"/>
      <c r="V401" s="20">
        <f t="shared" si="237"/>
        <v>-1459</v>
      </c>
      <c r="W401" s="143"/>
    </row>
    <row r="402" spans="1:23" ht="15.75" customHeight="1">
      <c r="A402" s="114"/>
      <c r="B402" s="122"/>
      <c r="C402" s="123"/>
      <c r="D402" s="49">
        <f t="shared" si="231"/>
        <v>-1459</v>
      </c>
      <c r="E402" s="154"/>
      <c r="F402" s="128"/>
      <c r="G402" s="29">
        <f t="shared" si="232"/>
        <v>-1459</v>
      </c>
      <c r="H402" s="124"/>
      <c r="I402" s="123"/>
      <c r="J402" s="39">
        <f t="shared" si="233"/>
        <v>-1459</v>
      </c>
      <c r="K402" s="128"/>
      <c r="L402" s="128"/>
      <c r="M402" s="40">
        <f t="shared" si="234"/>
        <v>-1459</v>
      </c>
      <c r="N402" s="122"/>
      <c r="O402" s="123"/>
      <c r="P402" s="39">
        <f t="shared" si="235"/>
        <v>-1459</v>
      </c>
      <c r="Q402" s="128"/>
      <c r="R402" s="128"/>
      <c r="S402" s="40">
        <f t="shared" si="236"/>
        <v>-1459</v>
      </c>
      <c r="T402" s="122"/>
      <c r="U402" s="123"/>
      <c r="V402" s="49">
        <f t="shared" si="237"/>
        <v>-1459</v>
      </c>
      <c r="W402" s="143"/>
    </row>
    <row r="403" spans="1:23" ht="15.75" customHeight="1">
      <c r="A403" s="87"/>
      <c r="B403" s="77">
        <f ca="1">IFERROR(__xludf.DUMMYFUNCTION("DATE(VALUE(LEFT($B$2,4)),VALUE(MID($B$2,6,2)),VALUE(RIGHT($B$2,2)))
+ (VALUE(REGEXEXTRACT(INDIRECT(""A""&amp;ROW()+1),""\d+""))-1)*7
+ INT((COLUMN()-COLUMN($B403))/3)
"),46985)</f>
        <v>46985</v>
      </c>
      <c r="C403" s="81"/>
      <c r="D403" s="82"/>
      <c r="E403" s="77">
        <f ca="1">IFERROR(__xludf.DUMMYFUNCTION("DATE(VALUE(LEFT($B$2,4)),VALUE(MID($B$2,6,2)),VALUE(RIGHT($B$2,2)))
+ (VALUE(REGEXEXTRACT(INDIRECT(""A""&amp;ROW()+1),""\d+""))-1)*7
+ INT((COLUMN()-COLUMN($B403))/3)
"),46986)</f>
        <v>46986</v>
      </c>
      <c r="F403" s="81"/>
      <c r="G403" s="82"/>
      <c r="H403" s="77">
        <f ca="1">IFERROR(__xludf.DUMMYFUNCTION("DATE(VALUE(LEFT($B$2,4)),VALUE(MID($B$2,6,2)),VALUE(RIGHT($B$2,2)))
+ (VALUE(REGEXEXTRACT(INDIRECT(""A""&amp;ROW()+1),""\d+""))-1)*7
+ INT((COLUMN()-COLUMN($B403))/3)
"),46987)</f>
        <v>46987</v>
      </c>
      <c r="I403" s="81"/>
      <c r="J403" s="82"/>
      <c r="K403" s="77">
        <f ca="1">IFERROR(__xludf.DUMMYFUNCTION("DATE(VALUE(LEFT($B$2,4)),VALUE(MID($B$2,6,2)),VALUE(RIGHT($B$2,2)))
+ (VALUE(REGEXEXTRACT(INDIRECT(""A""&amp;ROW()+1),""\d+""))-1)*7
+ INT((COLUMN()-COLUMN($B403))/3)
"),46988)</f>
        <v>46988</v>
      </c>
      <c r="L403" s="81"/>
      <c r="M403" s="82"/>
      <c r="N403" s="77">
        <f ca="1">IFERROR(__xludf.DUMMYFUNCTION("DATE(VALUE(LEFT($B$2,4)),VALUE(MID($B$2,6,2)),VALUE(RIGHT($B$2,2)))
+ (VALUE(REGEXEXTRACT(INDIRECT(""A""&amp;ROW()+1),""\d+""))-1)*7
+ INT((COLUMN()-COLUMN($B403))/3)
"),46989)</f>
        <v>46989</v>
      </c>
      <c r="O403" s="81"/>
      <c r="P403" s="82"/>
      <c r="Q403" s="77">
        <f ca="1">IFERROR(__xludf.DUMMYFUNCTION("DATE(VALUE(LEFT($B$2,4)),VALUE(MID($B$2,6,2)),VALUE(RIGHT($B$2,2)))
+ (VALUE(REGEXEXTRACT(INDIRECT(""A""&amp;ROW()+1),""\d+""))-1)*7
+ INT((COLUMN()-COLUMN($B403))/3)
"),46990)</f>
        <v>46990</v>
      </c>
      <c r="R403" s="81"/>
      <c r="S403" s="82"/>
      <c r="T403" s="77">
        <f ca="1">IFERROR(__xludf.DUMMYFUNCTION("DATE(VALUE(LEFT($B$2,4)),VALUE(MID($B$2,6,2)),VALUE(RIGHT($B$2,2)))
+ (VALUE(REGEXEXTRACT(INDIRECT(""A""&amp;ROW()+1),""\d+""))-1)*7
+ INT((COLUMN()-COLUMN($B403))/3)
"),46991)</f>
        <v>46991</v>
      </c>
      <c r="U403" s="81"/>
      <c r="V403" s="82"/>
      <c r="W403" s="52" t="s">
        <v>20</v>
      </c>
    </row>
    <row r="404" spans="1:23" ht="15.75" customHeight="1">
      <c r="A404" s="47" t="s">
        <v>163</v>
      </c>
      <c r="B404" s="113"/>
      <c r="C404" s="109"/>
      <c r="D404" s="50">
        <f>V402+C404</f>
        <v>-1459</v>
      </c>
      <c r="E404" s="112"/>
      <c r="F404" s="111"/>
      <c r="G404" s="17">
        <f>D414+F404</f>
        <v>-1459</v>
      </c>
      <c r="H404" s="132"/>
      <c r="I404" s="109"/>
      <c r="J404" s="42">
        <f>G414+I404</f>
        <v>-1459</v>
      </c>
      <c r="K404" s="112"/>
      <c r="L404" s="111"/>
      <c r="M404" s="18">
        <f>J414+L404</f>
        <v>-1459</v>
      </c>
      <c r="N404" s="113"/>
      <c r="O404" s="109"/>
      <c r="P404" s="35">
        <f>M414+O404</f>
        <v>-1459</v>
      </c>
      <c r="Q404" s="112"/>
      <c r="R404" s="111"/>
      <c r="S404" s="18">
        <f>P414+R404</f>
        <v>-1459</v>
      </c>
      <c r="T404" s="173"/>
      <c r="U404" s="173"/>
      <c r="V404" s="50">
        <f>S414+U404</f>
        <v>-1459</v>
      </c>
      <c r="W404" s="172"/>
    </row>
    <row r="405" spans="1:23" ht="15.75" customHeight="1">
      <c r="A405" s="114"/>
      <c r="B405" s="118"/>
      <c r="C405" s="117"/>
      <c r="D405" s="45">
        <f t="shared" ref="D405:D414" si="238">D404+C405</f>
        <v>-1459</v>
      </c>
      <c r="E405" s="106"/>
      <c r="F405" s="107"/>
      <c r="G405" s="26">
        <f t="shared" ref="G405:G414" si="239">G404+F405</f>
        <v>-1459</v>
      </c>
      <c r="H405" s="133"/>
      <c r="I405" s="117"/>
      <c r="J405" s="19">
        <f t="shared" ref="J405:J414" si="240">J404+I405</f>
        <v>-1459</v>
      </c>
      <c r="K405" s="106"/>
      <c r="L405" s="107"/>
      <c r="M405" s="26">
        <f t="shared" ref="M405:M414" si="241">M404+L405</f>
        <v>-1459</v>
      </c>
      <c r="N405" s="118"/>
      <c r="O405" s="117"/>
      <c r="P405" s="38">
        <f t="shared" ref="P405:P414" si="242">P404+O405</f>
        <v>-1459</v>
      </c>
      <c r="Q405" s="106"/>
      <c r="R405" s="107"/>
      <c r="S405" s="26">
        <f t="shared" ref="S405:S414" si="243">S404+R405</f>
        <v>-1459</v>
      </c>
      <c r="T405" s="136"/>
      <c r="U405" s="136"/>
      <c r="V405" s="45">
        <f t="shared" ref="V405:V414" si="244">V404+U405</f>
        <v>-1459</v>
      </c>
      <c r="W405" s="143"/>
    </row>
    <row r="406" spans="1:23" ht="15.75" customHeight="1">
      <c r="A406" s="114"/>
      <c r="B406" s="118"/>
      <c r="C406" s="117"/>
      <c r="D406" s="45">
        <f t="shared" si="238"/>
        <v>-1459</v>
      </c>
      <c r="E406" s="106"/>
      <c r="F406" s="107"/>
      <c r="G406" s="26">
        <f t="shared" si="239"/>
        <v>-1459</v>
      </c>
      <c r="H406" s="133"/>
      <c r="I406" s="117"/>
      <c r="J406" s="19">
        <f t="shared" si="240"/>
        <v>-1459</v>
      </c>
      <c r="K406" s="106"/>
      <c r="L406" s="107"/>
      <c r="M406" s="26">
        <f t="shared" si="241"/>
        <v>-1459</v>
      </c>
      <c r="N406" s="117"/>
      <c r="O406" s="117"/>
      <c r="P406" s="38">
        <f t="shared" si="242"/>
        <v>-1459</v>
      </c>
      <c r="Q406" s="106"/>
      <c r="R406" s="107"/>
      <c r="S406" s="26">
        <f t="shared" si="243"/>
        <v>-1459</v>
      </c>
      <c r="T406" s="136"/>
      <c r="U406" s="136"/>
      <c r="V406" s="45">
        <f t="shared" si="244"/>
        <v>-1459</v>
      </c>
      <c r="W406" s="143"/>
    </row>
    <row r="407" spans="1:23" ht="15.75" customHeight="1">
      <c r="A407" s="114"/>
      <c r="B407" s="118"/>
      <c r="C407" s="117"/>
      <c r="D407" s="45">
        <f t="shared" si="238"/>
        <v>-1459</v>
      </c>
      <c r="E407" s="106"/>
      <c r="F407" s="107"/>
      <c r="G407" s="26">
        <f t="shared" si="239"/>
        <v>-1459</v>
      </c>
      <c r="H407" s="133"/>
      <c r="I407" s="117"/>
      <c r="J407" s="19">
        <f t="shared" si="240"/>
        <v>-1459</v>
      </c>
      <c r="K407" s="106"/>
      <c r="L407" s="107"/>
      <c r="M407" s="26">
        <f t="shared" si="241"/>
        <v>-1459</v>
      </c>
      <c r="N407" s="117"/>
      <c r="O407" s="117"/>
      <c r="P407" s="38">
        <f t="shared" si="242"/>
        <v>-1459</v>
      </c>
      <c r="Q407" s="106"/>
      <c r="R407" s="107"/>
      <c r="S407" s="26">
        <f t="shared" si="243"/>
        <v>-1459</v>
      </c>
      <c r="T407" s="136"/>
      <c r="U407" s="136"/>
      <c r="V407" s="45">
        <f t="shared" si="244"/>
        <v>-1459</v>
      </c>
      <c r="W407" s="143"/>
    </row>
    <row r="408" spans="1:23" ht="15.75" customHeight="1">
      <c r="A408" s="114"/>
      <c r="B408" s="118"/>
      <c r="C408" s="117"/>
      <c r="D408" s="45">
        <f t="shared" si="238"/>
        <v>-1459</v>
      </c>
      <c r="E408" s="106"/>
      <c r="F408" s="107"/>
      <c r="G408" s="26">
        <f t="shared" si="239"/>
        <v>-1459</v>
      </c>
      <c r="H408" s="133"/>
      <c r="I408" s="117"/>
      <c r="J408" s="19">
        <f t="shared" si="240"/>
        <v>-1459</v>
      </c>
      <c r="K408" s="106"/>
      <c r="L408" s="107"/>
      <c r="M408" s="26">
        <f t="shared" si="241"/>
        <v>-1459</v>
      </c>
      <c r="N408" s="117"/>
      <c r="O408" s="117"/>
      <c r="P408" s="38">
        <f t="shared" si="242"/>
        <v>-1459</v>
      </c>
      <c r="Q408" s="106"/>
      <c r="R408" s="107"/>
      <c r="S408" s="26">
        <f t="shared" si="243"/>
        <v>-1459</v>
      </c>
      <c r="T408" s="136"/>
      <c r="U408" s="136"/>
      <c r="V408" s="45">
        <f t="shared" si="244"/>
        <v>-1459</v>
      </c>
      <c r="W408" s="143"/>
    </row>
    <row r="409" spans="1:23" ht="15.75" customHeight="1">
      <c r="A409" s="114"/>
      <c r="B409" s="118"/>
      <c r="C409" s="117"/>
      <c r="D409" s="45">
        <f t="shared" si="238"/>
        <v>-1459</v>
      </c>
      <c r="E409" s="106"/>
      <c r="F409" s="107"/>
      <c r="G409" s="26">
        <f t="shared" si="239"/>
        <v>-1459</v>
      </c>
      <c r="H409" s="133"/>
      <c r="I409" s="117"/>
      <c r="J409" s="19">
        <f t="shared" si="240"/>
        <v>-1459</v>
      </c>
      <c r="K409" s="106"/>
      <c r="L409" s="107"/>
      <c r="M409" s="26">
        <f t="shared" si="241"/>
        <v>-1459</v>
      </c>
      <c r="N409" s="117"/>
      <c r="O409" s="117"/>
      <c r="P409" s="38">
        <f t="shared" si="242"/>
        <v>-1459</v>
      </c>
      <c r="Q409" s="106"/>
      <c r="R409" s="107"/>
      <c r="S409" s="26">
        <f t="shared" si="243"/>
        <v>-1459</v>
      </c>
      <c r="T409" s="136"/>
      <c r="U409" s="136"/>
      <c r="V409" s="45">
        <f t="shared" si="244"/>
        <v>-1459</v>
      </c>
      <c r="W409" s="143"/>
    </row>
    <row r="410" spans="1:23" ht="15.75" customHeight="1">
      <c r="A410" s="114"/>
      <c r="B410" s="117"/>
      <c r="C410" s="117"/>
      <c r="D410" s="45">
        <f t="shared" si="238"/>
        <v>-1459</v>
      </c>
      <c r="E410" s="106"/>
      <c r="F410" s="107"/>
      <c r="G410" s="26">
        <f t="shared" si="239"/>
        <v>-1459</v>
      </c>
      <c r="H410" s="133"/>
      <c r="I410" s="117"/>
      <c r="J410" s="19">
        <f t="shared" si="240"/>
        <v>-1459</v>
      </c>
      <c r="K410" s="106"/>
      <c r="L410" s="107"/>
      <c r="M410" s="26">
        <f t="shared" si="241"/>
        <v>-1459</v>
      </c>
      <c r="N410" s="117"/>
      <c r="O410" s="117"/>
      <c r="P410" s="38">
        <f t="shared" si="242"/>
        <v>-1459</v>
      </c>
      <c r="Q410" s="106"/>
      <c r="R410" s="107"/>
      <c r="S410" s="26">
        <f t="shared" si="243"/>
        <v>-1459</v>
      </c>
      <c r="T410" s="136"/>
      <c r="U410" s="136"/>
      <c r="V410" s="45">
        <f t="shared" si="244"/>
        <v>-1459</v>
      </c>
      <c r="W410" s="143"/>
    </row>
    <row r="411" spans="1:23" ht="15.75" customHeight="1">
      <c r="A411" s="114"/>
      <c r="B411" s="117"/>
      <c r="C411" s="117"/>
      <c r="D411" s="45">
        <f t="shared" si="238"/>
        <v>-1459</v>
      </c>
      <c r="E411" s="106"/>
      <c r="F411" s="107"/>
      <c r="G411" s="26">
        <f t="shared" si="239"/>
        <v>-1459</v>
      </c>
      <c r="H411" s="133"/>
      <c r="I411" s="117"/>
      <c r="J411" s="19">
        <f t="shared" si="240"/>
        <v>-1459</v>
      </c>
      <c r="K411" s="106"/>
      <c r="L411" s="107"/>
      <c r="M411" s="26">
        <f t="shared" si="241"/>
        <v>-1459</v>
      </c>
      <c r="N411" s="117"/>
      <c r="O411" s="117"/>
      <c r="P411" s="38">
        <f t="shared" si="242"/>
        <v>-1459</v>
      </c>
      <c r="Q411" s="106"/>
      <c r="R411" s="107"/>
      <c r="S411" s="26">
        <f t="shared" si="243"/>
        <v>-1459</v>
      </c>
      <c r="T411" s="136"/>
      <c r="U411" s="136"/>
      <c r="V411" s="45">
        <f t="shared" si="244"/>
        <v>-1459</v>
      </c>
      <c r="W411" s="143"/>
    </row>
    <row r="412" spans="1:23" ht="15.75" customHeight="1">
      <c r="A412" s="114"/>
      <c r="B412" s="117"/>
      <c r="C412" s="117"/>
      <c r="D412" s="45">
        <f t="shared" si="238"/>
        <v>-1459</v>
      </c>
      <c r="E412" s="106"/>
      <c r="F412" s="107"/>
      <c r="G412" s="26">
        <f t="shared" si="239"/>
        <v>-1459</v>
      </c>
      <c r="H412" s="133"/>
      <c r="I412" s="117"/>
      <c r="J412" s="19">
        <f t="shared" si="240"/>
        <v>-1459</v>
      </c>
      <c r="K412" s="106"/>
      <c r="L412" s="107"/>
      <c r="M412" s="26">
        <f t="shared" si="241"/>
        <v>-1459</v>
      </c>
      <c r="N412" s="117"/>
      <c r="O412" s="117"/>
      <c r="P412" s="38">
        <f t="shared" si="242"/>
        <v>-1459</v>
      </c>
      <c r="Q412" s="106"/>
      <c r="R412" s="107"/>
      <c r="S412" s="26">
        <f t="shared" si="243"/>
        <v>-1459</v>
      </c>
      <c r="T412" s="136"/>
      <c r="U412" s="136"/>
      <c r="V412" s="45">
        <f t="shared" si="244"/>
        <v>-1459</v>
      </c>
      <c r="W412" s="143"/>
    </row>
    <row r="413" spans="1:23" ht="15.75" customHeight="1">
      <c r="A413" s="114"/>
      <c r="B413" s="117"/>
      <c r="C413" s="117"/>
      <c r="D413" s="45">
        <f t="shared" si="238"/>
        <v>-1459</v>
      </c>
      <c r="E413" s="122"/>
      <c r="F413" s="123"/>
      <c r="G413" s="26">
        <f t="shared" si="239"/>
        <v>-1459</v>
      </c>
      <c r="H413" s="133"/>
      <c r="I413" s="117"/>
      <c r="J413" s="19">
        <f t="shared" si="240"/>
        <v>-1459</v>
      </c>
      <c r="K413" s="122"/>
      <c r="L413" s="123"/>
      <c r="M413" s="26">
        <f t="shared" si="241"/>
        <v>-1459</v>
      </c>
      <c r="N413" s="117"/>
      <c r="O413" s="117"/>
      <c r="P413" s="38">
        <f t="shared" si="242"/>
        <v>-1459</v>
      </c>
      <c r="Q413" s="122"/>
      <c r="R413" s="123"/>
      <c r="S413" s="26">
        <f t="shared" si="243"/>
        <v>-1459</v>
      </c>
      <c r="T413" s="136"/>
      <c r="U413" s="136"/>
      <c r="V413" s="45">
        <f t="shared" si="244"/>
        <v>-1459</v>
      </c>
      <c r="W413" s="143"/>
    </row>
    <row r="414" spans="1:23" ht="15.75" customHeight="1">
      <c r="A414" s="114"/>
      <c r="B414" s="128"/>
      <c r="C414" s="128"/>
      <c r="D414" s="46">
        <f t="shared" si="238"/>
        <v>-1459</v>
      </c>
      <c r="E414" s="122"/>
      <c r="F414" s="123"/>
      <c r="G414" s="39">
        <f t="shared" si="239"/>
        <v>-1459</v>
      </c>
      <c r="H414" s="140"/>
      <c r="I414" s="128"/>
      <c r="J414" s="29">
        <f t="shared" si="240"/>
        <v>-1459</v>
      </c>
      <c r="K414" s="122"/>
      <c r="L414" s="123"/>
      <c r="M414" s="39">
        <f t="shared" si="241"/>
        <v>-1459</v>
      </c>
      <c r="N414" s="128"/>
      <c r="O414" s="128"/>
      <c r="P414" s="40">
        <f t="shared" si="242"/>
        <v>-1459</v>
      </c>
      <c r="Q414" s="122"/>
      <c r="R414" s="123"/>
      <c r="S414" s="39">
        <f t="shared" si="243"/>
        <v>-1459</v>
      </c>
      <c r="T414" s="141"/>
      <c r="U414" s="141"/>
      <c r="V414" s="46">
        <f t="shared" si="244"/>
        <v>-1459</v>
      </c>
      <c r="W414" s="143"/>
    </row>
    <row r="415" spans="1:23" ht="15.75" customHeight="1">
      <c r="A415" s="87"/>
      <c r="B415" s="77">
        <f ca="1">IFERROR(__xludf.DUMMYFUNCTION("DATE(VALUE(LEFT($B$2,4)),VALUE(MID($B$2,6,2)),VALUE(RIGHT($B$2,2)))
+ (VALUE(REGEXEXTRACT(INDIRECT(""A""&amp;ROW()+1),""\d+""))-1)*7
+ INT((COLUMN()-COLUMN($B415))/3)
"),46992)</f>
        <v>46992</v>
      </c>
      <c r="C415" s="81"/>
      <c r="D415" s="82"/>
      <c r="E415" s="77">
        <f ca="1">IFERROR(__xludf.DUMMYFUNCTION("DATE(VALUE(LEFT($B$2,4)),VALUE(MID($B$2,6,2)),VALUE(RIGHT($B$2,2)))
+ (VALUE(REGEXEXTRACT(INDIRECT(""A""&amp;ROW()+1),""\d+""))-1)*7
+ INT((COLUMN()-COLUMN($B415))/3)
"),46993)</f>
        <v>46993</v>
      </c>
      <c r="F415" s="81"/>
      <c r="G415" s="82"/>
      <c r="H415" s="77">
        <f ca="1">IFERROR(__xludf.DUMMYFUNCTION("DATE(VALUE(LEFT($B$2,4)),VALUE(MID($B$2,6,2)),VALUE(RIGHT($B$2,2)))
+ (VALUE(REGEXEXTRACT(INDIRECT(""A""&amp;ROW()+1),""\d+""))-1)*7
+ INT((COLUMN()-COLUMN($B415))/3)
"),46994)</f>
        <v>46994</v>
      </c>
      <c r="I415" s="81"/>
      <c r="J415" s="82"/>
      <c r="K415" s="77">
        <f ca="1">IFERROR(__xludf.DUMMYFUNCTION("DATE(VALUE(LEFT($B$2,4)),VALUE(MID($B$2,6,2)),VALUE(RIGHT($B$2,2)))
+ (VALUE(REGEXEXTRACT(INDIRECT(""A""&amp;ROW()+1),""\d+""))-1)*7
+ INT((COLUMN()-COLUMN($B415))/3)
"),46995)</f>
        <v>46995</v>
      </c>
      <c r="L415" s="81"/>
      <c r="M415" s="82"/>
      <c r="N415" s="77">
        <f ca="1">IFERROR(__xludf.DUMMYFUNCTION("DATE(VALUE(LEFT($B$2,4)),VALUE(MID($B$2,6,2)),VALUE(RIGHT($B$2,2)))
+ (VALUE(REGEXEXTRACT(INDIRECT(""A""&amp;ROW()+1),""\d+""))-1)*7
+ INT((COLUMN()-COLUMN($B415))/3)
"),46996)</f>
        <v>46996</v>
      </c>
      <c r="O415" s="81"/>
      <c r="P415" s="82"/>
      <c r="Q415" s="77">
        <f ca="1">IFERROR(__xludf.DUMMYFUNCTION("DATE(VALUE(LEFT($B$2,4)),VALUE(MID($B$2,6,2)),VALUE(RIGHT($B$2,2)))
+ (VALUE(REGEXEXTRACT(INDIRECT(""A""&amp;ROW()+1),""\d+""))-1)*7
+ INT((COLUMN()-COLUMN($B415))/3)
"),46997)</f>
        <v>46997</v>
      </c>
      <c r="R415" s="81"/>
      <c r="S415" s="82"/>
      <c r="T415" s="77">
        <f ca="1">IFERROR(__xludf.DUMMYFUNCTION("DATE(VALUE(LEFT($B$2,4)),VALUE(MID($B$2,6,2)),VALUE(RIGHT($B$2,2)))
+ (VALUE(REGEXEXTRACT(INDIRECT(""A""&amp;ROW()+1),""\d+""))-1)*7
+ INT((COLUMN()-COLUMN($B415))/3)
"),46998)</f>
        <v>46998</v>
      </c>
      <c r="U415" s="81"/>
      <c r="V415" s="82"/>
      <c r="W415" s="143"/>
    </row>
    <row r="416" spans="1:23" ht="15.75" customHeight="1">
      <c r="A416" s="51" t="s">
        <v>164</v>
      </c>
      <c r="B416" s="112"/>
      <c r="C416" s="111"/>
      <c r="D416" s="17">
        <f>V414+C416</f>
        <v>-1459</v>
      </c>
      <c r="E416" s="109"/>
      <c r="F416" s="109"/>
      <c r="G416" s="42">
        <f>D426+F416</f>
        <v>-1459</v>
      </c>
      <c r="H416" s="112"/>
      <c r="I416" s="111"/>
      <c r="J416" s="17">
        <f>G426+I416</f>
        <v>-1459</v>
      </c>
      <c r="K416" s="109"/>
      <c r="L416" s="109"/>
      <c r="M416" s="35">
        <f>J426+L416</f>
        <v>-1459</v>
      </c>
      <c r="N416" s="112"/>
      <c r="O416" s="111"/>
      <c r="P416" s="17">
        <f>M426+O416</f>
        <v>-1459</v>
      </c>
      <c r="Q416" s="109"/>
      <c r="R416" s="109"/>
      <c r="S416" s="35">
        <f>P426+R416</f>
        <v>-1459</v>
      </c>
      <c r="T416" s="112"/>
      <c r="U416" s="111"/>
      <c r="V416" s="48">
        <f>S426+U416</f>
        <v>-1459</v>
      </c>
      <c r="W416" s="143"/>
    </row>
    <row r="417" spans="1:23" ht="15.75" customHeight="1">
      <c r="A417" s="114"/>
      <c r="B417" s="106"/>
      <c r="C417" s="107"/>
      <c r="D417" s="26">
        <f t="shared" ref="D417:D426" si="245">D416+C417</f>
        <v>-1459</v>
      </c>
      <c r="E417" s="117"/>
      <c r="F417" s="117"/>
      <c r="G417" s="19">
        <f t="shared" ref="G417:G426" si="246">G416+F417</f>
        <v>-1459</v>
      </c>
      <c r="H417" s="106"/>
      <c r="I417" s="107"/>
      <c r="J417" s="26">
        <f t="shared" ref="J417:J426" si="247">J416+I417</f>
        <v>-1459</v>
      </c>
      <c r="K417" s="117"/>
      <c r="L417" s="117"/>
      <c r="M417" s="38">
        <f t="shared" ref="M417:M426" si="248">M416+L417</f>
        <v>-1459</v>
      </c>
      <c r="N417" s="106"/>
      <c r="O417" s="107"/>
      <c r="P417" s="26">
        <f t="shared" ref="P417:P426" si="249">P416+O417</f>
        <v>-1459</v>
      </c>
      <c r="Q417" s="117"/>
      <c r="R417" s="117"/>
      <c r="S417" s="38">
        <f t="shared" ref="S417:S426" si="250">S416+R417</f>
        <v>-1459</v>
      </c>
      <c r="T417" s="106"/>
      <c r="U417" s="107"/>
      <c r="V417" s="20">
        <f t="shared" ref="V417:V426" si="251">V416+U417</f>
        <v>-1459</v>
      </c>
      <c r="W417" s="143"/>
    </row>
    <row r="418" spans="1:23" ht="15.75" customHeight="1">
      <c r="A418" s="114"/>
      <c r="B418" s="106"/>
      <c r="C418" s="107"/>
      <c r="D418" s="26">
        <f t="shared" si="245"/>
        <v>-1459</v>
      </c>
      <c r="E418" s="117"/>
      <c r="F418" s="117"/>
      <c r="G418" s="19">
        <f t="shared" si="246"/>
        <v>-1459</v>
      </c>
      <c r="H418" s="106"/>
      <c r="I418" s="107"/>
      <c r="J418" s="26">
        <f t="shared" si="247"/>
        <v>-1459</v>
      </c>
      <c r="K418" s="117"/>
      <c r="L418" s="117"/>
      <c r="M418" s="38">
        <f t="shared" si="248"/>
        <v>-1459</v>
      </c>
      <c r="N418" s="106"/>
      <c r="O418" s="107"/>
      <c r="P418" s="26">
        <f t="shared" si="249"/>
        <v>-1459</v>
      </c>
      <c r="Q418" s="117"/>
      <c r="R418" s="117"/>
      <c r="S418" s="38">
        <f t="shared" si="250"/>
        <v>-1459</v>
      </c>
      <c r="T418" s="106"/>
      <c r="U418" s="116"/>
      <c r="V418" s="20">
        <f t="shared" si="251"/>
        <v>-1459</v>
      </c>
      <c r="W418" s="143"/>
    </row>
    <row r="419" spans="1:23" ht="15.75" customHeight="1">
      <c r="A419" s="114"/>
      <c r="B419" s="106"/>
      <c r="C419" s="107"/>
      <c r="D419" s="26">
        <f t="shared" si="245"/>
        <v>-1459</v>
      </c>
      <c r="E419" s="117"/>
      <c r="F419" s="117"/>
      <c r="G419" s="19">
        <f t="shared" si="246"/>
        <v>-1459</v>
      </c>
      <c r="H419" s="106"/>
      <c r="I419" s="107"/>
      <c r="J419" s="26">
        <f t="shared" si="247"/>
        <v>-1459</v>
      </c>
      <c r="K419" s="117"/>
      <c r="L419" s="117"/>
      <c r="M419" s="38">
        <f t="shared" si="248"/>
        <v>-1459</v>
      </c>
      <c r="N419" s="106"/>
      <c r="O419" s="107"/>
      <c r="P419" s="26">
        <f t="shared" si="249"/>
        <v>-1459</v>
      </c>
      <c r="Q419" s="117"/>
      <c r="R419" s="117"/>
      <c r="S419" s="38">
        <f t="shared" si="250"/>
        <v>-1459</v>
      </c>
      <c r="T419" s="106"/>
      <c r="U419" s="116"/>
      <c r="V419" s="20">
        <f t="shared" si="251"/>
        <v>-1459</v>
      </c>
      <c r="W419" s="143"/>
    </row>
    <row r="420" spans="1:23" ht="15.75" customHeight="1">
      <c r="A420" s="114"/>
      <c r="B420" s="106"/>
      <c r="C420" s="107"/>
      <c r="D420" s="26">
        <f t="shared" si="245"/>
        <v>-1459</v>
      </c>
      <c r="E420" s="117"/>
      <c r="F420" s="117"/>
      <c r="G420" s="19">
        <f t="shared" si="246"/>
        <v>-1459</v>
      </c>
      <c r="H420" s="106"/>
      <c r="I420" s="107"/>
      <c r="J420" s="26">
        <f t="shared" si="247"/>
        <v>-1459</v>
      </c>
      <c r="K420" s="117"/>
      <c r="L420" s="117"/>
      <c r="M420" s="38">
        <f t="shared" si="248"/>
        <v>-1459</v>
      </c>
      <c r="N420" s="106"/>
      <c r="O420" s="107"/>
      <c r="P420" s="26">
        <f t="shared" si="249"/>
        <v>-1459</v>
      </c>
      <c r="Q420" s="117"/>
      <c r="R420" s="117"/>
      <c r="S420" s="38">
        <f t="shared" si="250"/>
        <v>-1459</v>
      </c>
      <c r="T420" s="106"/>
      <c r="U420" s="116"/>
      <c r="V420" s="20">
        <f t="shared" si="251"/>
        <v>-1459</v>
      </c>
      <c r="W420" s="143"/>
    </row>
    <row r="421" spans="1:23" ht="15.75" customHeight="1">
      <c r="A421" s="114"/>
      <c r="B421" s="106"/>
      <c r="C421" s="107"/>
      <c r="D421" s="26">
        <f t="shared" si="245"/>
        <v>-1459</v>
      </c>
      <c r="E421" s="117"/>
      <c r="F421" s="117"/>
      <c r="G421" s="19">
        <f t="shared" si="246"/>
        <v>-1459</v>
      </c>
      <c r="H421" s="106"/>
      <c r="I421" s="107"/>
      <c r="J421" s="26">
        <f t="shared" si="247"/>
        <v>-1459</v>
      </c>
      <c r="K421" s="117"/>
      <c r="L421" s="117"/>
      <c r="M421" s="38">
        <f t="shared" si="248"/>
        <v>-1459</v>
      </c>
      <c r="N421" s="106"/>
      <c r="O421" s="107"/>
      <c r="P421" s="26">
        <f t="shared" si="249"/>
        <v>-1459</v>
      </c>
      <c r="Q421" s="117"/>
      <c r="R421" s="117"/>
      <c r="S421" s="38">
        <f t="shared" si="250"/>
        <v>-1459</v>
      </c>
      <c r="T421" s="106"/>
      <c r="U421" s="116"/>
      <c r="V421" s="20">
        <f t="shared" si="251"/>
        <v>-1459</v>
      </c>
      <c r="W421" s="143"/>
    </row>
    <row r="422" spans="1:23" ht="15.75" customHeight="1">
      <c r="A422" s="114"/>
      <c r="B422" s="106"/>
      <c r="C422" s="107"/>
      <c r="D422" s="26">
        <f t="shared" si="245"/>
        <v>-1459</v>
      </c>
      <c r="E422" s="117"/>
      <c r="F422" s="117"/>
      <c r="G422" s="19">
        <f t="shared" si="246"/>
        <v>-1459</v>
      </c>
      <c r="H422" s="106"/>
      <c r="I422" s="107"/>
      <c r="J422" s="26">
        <f t="shared" si="247"/>
        <v>-1459</v>
      </c>
      <c r="K422" s="117"/>
      <c r="L422" s="117"/>
      <c r="M422" s="38">
        <f t="shared" si="248"/>
        <v>-1459</v>
      </c>
      <c r="N422" s="106"/>
      <c r="O422" s="107"/>
      <c r="P422" s="26">
        <f t="shared" si="249"/>
        <v>-1459</v>
      </c>
      <c r="Q422" s="117"/>
      <c r="R422" s="117"/>
      <c r="S422" s="38">
        <f t="shared" si="250"/>
        <v>-1459</v>
      </c>
      <c r="T422" s="106"/>
      <c r="U422" s="116"/>
      <c r="V422" s="20">
        <f t="shared" si="251"/>
        <v>-1459</v>
      </c>
      <c r="W422" s="143"/>
    </row>
    <row r="423" spans="1:23" ht="15.75" customHeight="1">
      <c r="A423" s="114"/>
      <c r="B423" s="106"/>
      <c r="C423" s="107"/>
      <c r="D423" s="26">
        <f t="shared" si="245"/>
        <v>-1459</v>
      </c>
      <c r="E423" s="117"/>
      <c r="F423" s="117"/>
      <c r="G423" s="19">
        <f t="shared" si="246"/>
        <v>-1459</v>
      </c>
      <c r="H423" s="106"/>
      <c r="I423" s="107"/>
      <c r="J423" s="26">
        <f t="shared" si="247"/>
        <v>-1459</v>
      </c>
      <c r="K423" s="117"/>
      <c r="L423" s="117"/>
      <c r="M423" s="38">
        <f t="shared" si="248"/>
        <v>-1459</v>
      </c>
      <c r="N423" s="106"/>
      <c r="O423" s="107"/>
      <c r="P423" s="26">
        <f t="shared" si="249"/>
        <v>-1459</v>
      </c>
      <c r="Q423" s="117"/>
      <c r="R423" s="117"/>
      <c r="S423" s="38">
        <f t="shared" si="250"/>
        <v>-1459</v>
      </c>
      <c r="T423" s="106"/>
      <c r="U423" s="116"/>
      <c r="V423" s="20">
        <f t="shared" si="251"/>
        <v>-1459</v>
      </c>
      <c r="W423" s="143"/>
    </row>
    <row r="424" spans="1:23" ht="15.75" customHeight="1">
      <c r="A424" s="114"/>
      <c r="B424" s="122"/>
      <c r="C424" s="123"/>
      <c r="D424" s="26">
        <f t="shared" si="245"/>
        <v>-1459</v>
      </c>
      <c r="E424" s="117"/>
      <c r="F424" s="117"/>
      <c r="G424" s="19">
        <f t="shared" si="246"/>
        <v>-1459</v>
      </c>
      <c r="H424" s="122"/>
      <c r="I424" s="123"/>
      <c r="J424" s="26">
        <f t="shared" si="247"/>
        <v>-1459</v>
      </c>
      <c r="K424" s="117"/>
      <c r="L424" s="117"/>
      <c r="M424" s="38">
        <f t="shared" si="248"/>
        <v>-1459</v>
      </c>
      <c r="N424" s="122"/>
      <c r="O424" s="123"/>
      <c r="P424" s="26">
        <f t="shared" si="249"/>
        <v>-1459</v>
      </c>
      <c r="Q424" s="117"/>
      <c r="R424" s="117"/>
      <c r="S424" s="38">
        <f t="shared" si="250"/>
        <v>-1459</v>
      </c>
      <c r="T424" s="106"/>
      <c r="U424" s="116"/>
      <c r="V424" s="20">
        <f t="shared" si="251"/>
        <v>-1459</v>
      </c>
      <c r="W424" s="143"/>
    </row>
    <row r="425" spans="1:23" ht="15.75" customHeight="1">
      <c r="A425" s="114"/>
      <c r="B425" s="122"/>
      <c r="C425" s="123"/>
      <c r="D425" s="26">
        <f t="shared" si="245"/>
        <v>-1459</v>
      </c>
      <c r="E425" s="117"/>
      <c r="F425" s="117"/>
      <c r="G425" s="19">
        <f t="shared" si="246"/>
        <v>-1459</v>
      </c>
      <c r="H425" s="122"/>
      <c r="I425" s="123"/>
      <c r="J425" s="26">
        <f t="shared" si="247"/>
        <v>-1459</v>
      </c>
      <c r="K425" s="117"/>
      <c r="L425" s="117"/>
      <c r="M425" s="38">
        <f t="shared" si="248"/>
        <v>-1459</v>
      </c>
      <c r="N425" s="122"/>
      <c r="O425" s="123"/>
      <c r="P425" s="26">
        <f t="shared" si="249"/>
        <v>-1459</v>
      </c>
      <c r="Q425" s="117"/>
      <c r="R425" s="117"/>
      <c r="S425" s="38">
        <f t="shared" si="250"/>
        <v>-1459</v>
      </c>
      <c r="T425" s="122"/>
      <c r="U425" s="124"/>
      <c r="V425" s="20">
        <f t="shared" si="251"/>
        <v>-1459</v>
      </c>
      <c r="W425" s="143"/>
    </row>
    <row r="426" spans="1:23" ht="15.75" customHeight="1">
      <c r="A426" s="114"/>
      <c r="B426" s="122"/>
      <c r="C426" s="123"/>
      <c r="D426" s="39">
        <f t="shared" si="245"/>
        <v>-1459</v>
      </c>
      <c r="E426" s="128"/>
      <c r="F426" s="128"/>
      <c r="G426" s="29">
        <f t="shared" si="246"/>
        <v>-1459</v>
      </c>
      <c r="H426" s="122"/>
      <c r="I426" s="123"/>
      <c r="J426" s="39">
        <f t="shared" si="247"/>
        <v>-1459</v>
      </c>
      <c r="K426" s="128"/>
      <c r="L426" s="128"/>
      <c r="M426" s="40">
        <f t="shared" si="248"/>
        <v>-1459</v>
      </c>
      <c r="N426" s="122"/>
      <c r="O426" s="123"/>
      <c r="P426" s="39">
        <f t="shared" si="249"/>
        <v>-1459</v>
      </c>
      <c r="Q426" s="128"/>
      <c r="R426" s="128"/>
      <c r="S426" s="40">
        <f t="shared" si="250"/>
        <v>-1459</v>
      </c>
      <c r="T426" s="122"/>
      <c r="U426" s="123"/>
      <c r="V426" s="49">
        <f t="shared" si="251"/>
        <v>-1459</v>
      </c>
      <c r="W426" s="143"/>
    </row>
    <row r="427" spans="1:23" ht="15.75" customHeight="1">
      <c r="A427" s="87"/>
      <c r="B427" s="77">
        <f ca="1">IFERROR(__xludf.DUMMYFUNCTION("DATE(VALUE(LEFT($B$2,4)),VALUE(MID($B$2,6,2)),VALUE(RIGHT($B$2,2)))
+ (VALUE(REGEXEXTRACT(INDIRECT(""A""&amp;ROW()+1),""\d+""))-1)*7
+ INT((COLUMN()-COLUMN($B427))/3)
"),46999)</f>
        <v>46999</v>
      </c>
      <c r="C427" s="81"/>
      <c r="D427" s="82"/>
      <c r="E427" s="77">
        <f ca="1">IFERROR(__xludf.DUMMYFUNCTION("DATE(VALUE(LEFT($B$2,4)),VALUE(MID($B$2,6,2)),VALUE(RIGHT($B$2,2)))
+ (VALUE(REGEXEXTRACT(INDIRECT(""A""&amp;ROW()+1),""\d+""))-1)*7
+ INT((COLUMN()-COLUMN($B427))/3)
"),47000)</f>
        <v>47000</v>
      </c>
      <c r="F427" s="81"/>
      <c r="G427" s="82"/>
      <c r="H427" s="77">
        <f ca="1">IFERROR(__xludf.DUMMYFUNCTION("DATE(VALUE(LEFT($B$2,4)),VALUE(MID($B$2,6,2)),VALUE(RIGHT($B$2,2)))
+ (VALUE(REGEXEXTRACT(INDIRECT(""A""&amp;ROW()+1),""\d+""))-1)*7
+ INT((COLUMN()-COLUMN($B427))/3)
"),47001)</f>
        <v>47001</v>
      </c>
      <c r="I427" s="81"/>
      <c r="J427" s="82"/>
      <c r="K427" s="77">
        <f ca="1">IFERROR(__xludf.DUMMYFUNCTION("DATE(VALUE(LEFT($B$2,4)),VALUE(MID($B$2,6,2)),VALUE(RIGHT($B$2,2)))
+ (VALUE(REGEXEXTRACT(INDIRECT(""A""&amp;ROW()+1),""\d+""))-1)*7
+ INT((COLUMN()-COLUMN($B427))/3)
"),47002)</f>
        <v>47002</v>
      </c>
      <c r="L427" s="81"/>
      <c r="M427" s="82"/>
      <c r="N427" s="77">
        <f ca="1">IFERROR(__xludf.DUMMYFUNCTION("DATE(VALUE(LEFT($B$2,4)),VALUE(MID($B$2,6,2)),VALUE(RIGHT($B$2,2)))
+ (VALUE(REGEXEXTRACT(INDIRECT(""A""&amp;ROW()+1),""\d+""))-1)*7
+ INT((COLUMN()-COLUMN($B427))/3)
"),47003)</f>
        <v>47003</v>
      </c>
      <c r="O427" s="81"/>
      <c r="P427" s="82"/>
      <c r="Q427" s="77">
        <f ca="1">IFERROR(__xludf.DUMMYFUNCTION("DATE(VALUE(LEFT($B$2,4)),VALUE(MID($B$2,6,2)),VALUE(RIGHT($B$2,2)))
+ (VALUE(REGEXEXTRACT(INDIRECT(""A""&amp;ROW()+1),""\d+""))-1)*7
+ INT((COLUMN()-COLUMN($B427))/3)
"),47004)</f>
        <v>47004</v>
      </c>
      <c r="R427" s="81"/>
      <c r="S427" s="82"/>
      <c r="T427" s="77">
        <f ca="1">IFERROR(__xludf.DUMMYFUNCTION("DATE(VALUE(LEFT($B$2,4)),VALUE(MID($B$2,6,2)),VALUE(RIGHT($B$2,2)))
+ (VALUE(REGEXEXTRACT(INDIRECT(""A""&amp;ROW()+1),""\d+""))-1)*7
+ INT((COLUMN()-COLUMN($B427))/3)
"),47005)</f>
        <v>47005</v>
      </c>
      <c r="U427" s="81"/>
      <c r="V427" s="82"/>
      <c r="W427" s="52" t="s">
        <v>20</v>
      </c>
    </row>
    <row r="428" spans="1:23" ht="15.75" customHeight="1">
      <c r="A428" s="47" t="s">
        <v>165</v>
      </c>
      <c r="B428" s="113"/>
      <c r="C428" s="109"/>
      <c r="D428" s="42">
        <f>V426+C428</f>
        <v>-1459</v>
      </c>
      <c r="E428" s="112"/>
      <c r="F428" s="111"/>
      <c r="G428" s="36">
        <f>D438+F428</f>
        <v>-1459</v>
      </c>
      <c r="H428" s="132"/>
      <c r="I428" s="109"/>
      <c r="J428" s="42">
        <f>G438+I428</f>
        <v>-1459</v>
      </c>
      <c r="K428" s="112"/>
      <c r="L428" s="111"/>
      <c r="M428" s="18">
        <f>J438+L428</f>
        <v>-1459</v>
      </c>
      <c r="N428" s="113"/>
      <c r="O428" s="109"/>
      <c r="P428" s="35">
        <f>M438+O428</f>
        <v>-1459</v>
      </c>
      <c r="Q428" s="112"/>
      <c r="R428" s="111"/>
      <c r="S428" s="18">
        <f>P438+R428</f>
        <v>-1459</v>
      </c>
      <c r="T428" s="173"/>
      <c r="U428" s="173"/>
      <c r="V428" s="50">
        <f>S438+U428</f>
        <v>-1459</v>
      </c>
      <c r="W428" s="172"/>
    </row>
    <row r="429" spans="1:23" ht="15.75" customHeight="1">
      <c r="A429" s="114"/>
      <c r="B429" s="118"/>
      <c r="C429" s="117"/>
      <c r="D429" s="19">
        <f t="shared" ref="D429:D438" si="252">D428+C429</f>
        <v>-1459</v>
      </c>
      <c r="E429" s="106"/>
      <c r="F429" s="107"/>
      <c r="G429" s="26">
        <f t="shared" ref="G429:G438" si="253">G428+F429</f>
        <v>-1459</v>
      </c>
      <c r="H429" s="133"/>
      <c r="I429" s="117"/>
      <c r="J429" s="19">
        <f t="shared" ref="J429:J438" si="254">J428+I429</f>
        <v>-1459</v>
      </c>
      <c r="K429" s="106"/>
      <c r="L429" s="107"/>
      <c r="M429" s="26">
        <f t="shared" ref="M429:M438" si="255">M428+L429</f>
        <v>-1459</v>
      </c>
      <c r="N429" s="118"/>
      <c r="O429" s="117"/>
      <c r="P429" s="38">
        <f t="shared" ref="P429:P438" si="256">P428+O429</f>
        <v>-1459</v>
      </c>
      <c r="Q429" s="106"/>
      <c r="R429" s="107"/>
      <c r="S429" s="26">
        <f t="shared" ref="S429:S438" si="257">S428+R429</f>
        <v>-1459</v>
      </c>
      <c r="T429" s="136"/>
      <c r="U429" s="136"/>
      <c r="V429" s="45">
        <f t="shared" ref="V429:V438" si="258">V428+U429</f>
        <v>-1459</v>
      </c>
      <c r="W429" s="143"/>
    </row>
    <row r="430" spans="1:23" ht="15.75" customHeight="1">
      <c r="A430" s="114"/>
      <c r="B430" s="118"/>
      <c r="C430" s="117"/>
      <c r="D430" s="19">
        <f t="shared" si="252"/>
        <v>-1459</v>
      </c>
      <c r="E430" s="106"/>
      <c r="F430" s="107"/>
      <c r="G430" s="26">
        <f t="shared" si="253"/>
        <v>-1459</v>
      </c>
      <c r="H430" s="133"/>
      <c r="I430" s="117"/>
      <c r="J430" s="19">
        <f t="shared" si="254"/>
        <v>-1459</v>
      </c>
      <c r="K430" s="106"/>
      <c r="L430" s="107"/>
      <c r="M430" s="26">
        <f t="shared" si="255"/>
        <v>-1459</v>
      </c>
      <c r="N430" s="117"/>
      <c r="O430" s="117"/>
      <c r="P430" s="38">
        <f t="shared" si="256"/>
        <v>-1459</v>
      </c>
      <c r="Q430" s="106"/>
      <c r="R430" s="107"/>
      <c r="S430" s="26">
        <f t="shared" si="257"/>
        <v>-1459</v>
      </c>
      <c r="T430" s="117"/>
      <c r="U430" s="117"/>
      <c r="V430" s="45">
        <f t="shared" si="258"/>
        <v>-1459</v>
      </c>
      <c r="W430" s="143"/>
    </row>
    <row r="431" spans="1:23" ht="15.75" customHeight="1">
      <c r="A431" s="114"/>
      <c r="B431" s="118"/>
      <c r="C431" s="117"/>
      <c r="D431" s="19">
        <f t="shared" si="252"/>
        <v>-1459</v>
      </c>
      <c r="E431" s="106"/>
      <c r="F431" s="107"/>
      <c r="G431" s="26">
        <f t="shared" si="253"/>
        <v>-1459</v>
      </c>
      <c r="H431" s="133"/>
      <c r="I431" s="117"/>
      <c r="J431" s="19">
        <f t="shared" si="254"/>
        <v>-1459</v>
      </c>
      <c r="K431" s="106"/>
      <c r="L431" s="107"/>
      <c r="M431" s="26">
        <f t="shared" si="255"/>
        <v>-1459</v>
      </c>
      <c r="N431" s="117"/>
      <c r="O431" s="117"/>
      <c r="P431" s="19">
        <f t="shared" si="256"/>
        <v>-1459</v>
      </c>
      <c r="Q431" s="106"/>
      <c r="R431" s="107"/>
      <c r="S431" s="26">
        <f t="shared" si="257"/>
        <v>-1459</v>
      </c>
      <c r="T431" s="136"/>
      <c r="U431" s="136"/>
      <c r="V431" s="45">
        <f t="shared" si="258"/>
        <v>-1459</v>
      </c>
      <c r="W431" s="143"/>
    </row>
    <row r="432" spans="1:23" ht="15.75" customHeight="1">
      <c r="A432" s="114"/>
      <c r="B432" s="118"/>
      <c r="C432" s="117"/>
      <c r="D432" s="19">
        <f t="shared" si="252"/>
        <v>-1459</v>
      </c>
      <c r="E432" s="106"/>
      <c r="F432" s="107"/>
      <c r="G432" s="26">
        <f t="shared" si="253"/>
        <v>-1459</v>
      </c>
      <c r="H432" s="133"/>
      <c r="I432" s="117"/>
      <c r="J432" s="19">
        <f t="shared" si="254"/>
        <v>-1459</v>
      </c>
      <c r="K432" s="106"/>
      <c r="L432" s="107"/>
      <c r="M432" s="26">
        <f t="shared" si="255"/>
        <v>-1459</v>
      </c>
      <c r="N432" s="117"/>
      <c r="O432" s="117"/>
      <c r="P432" s="19">
        <f t="shared" si="256"/>
        <v>-1459</v>
      </c>
      <c r="Q432" s="106"/>
      <c r="R432" s="107"/>
      <c r="S432" s="26">
        <f t="shared" si="257"/>
        <v>-1459</v>
      </c>
      <c r="T432" s="136"/>
      <c r="U432" s="136"/>
      <c r="V432" s="45">
        <f t="shared" si="258"/>
        <v>-1459</v>
      </c>
      <c r="W432" s="143"/>
    </row>
    <row r="433" spans="1:23" ht="15.75" customHeight="1">
      <c r="A433" s="114"/>
      <c r="B433" s="118"/>
      <c r="C433" s="117"/>
      <c r="D433" s="19">
        <f t="shared" si="252"/>
        <v>-1459</v>
      </c>
      <c r="E433" s="106"/>
      <c r="F433" s="107"/>
      <c r="G433" s="26">
        <f t="shared" si="253"/>
        <v>-1459</v>
      </c>
      <c r="H433" s="133"/>
      <c r="I433" s="117"/>
      <c r="J433" s="19">
        <f t="shared" si="254"/>
        <v>-1459</v>
      </c>
      <c r="K433" s="106"/>
      <c r="L433" s="107"/>
      <c r="M433" s="26">
        <f t="shared" si="255"/>
        <v>-1459</v>
      </c>
      <c r="N433" s="117"/>
      <c r="O433" s="117"/>
      <c r="P433" s="19">
        <f t="shared" si="256"/>
        <v>-1459</v>
      </c>
      <c r="Q433" s="106"/>
      <c r="R433" s="107"/>
      <c r="S433" s="26">
        <f t="shared" si="257"/>
        <v>-1459</v>
      </c>
      <c r="T433" s="136"/>
      <c r="U433" s="136"/>
      <c r="V433" s="45">
        <f t="shared" si="258"/>
        <v>-1459</v>
      </c>
      <c r="W433" s="143"/>
    </row>
    <row r="434" spans="1:23" ht="15.75" customHeight="1">
      <c r="A434" s="114"/>
      <c r="B434" s="117"/>
      <c r="C434" s="117"/>
      <c r="D434" s="19">
        <f t="shared" si="252"/>
        <v>-1459</v>
      </c>
      <c r="E434" s="106"/>
      <c r="F434" s="107"/>
      <c r="G434" s="26">
        <f t="shared" si="253"/>
        <v>-1459</v>
      </c>
      <c r="H434" s="133"/>
      <c r="I434" s="117"/>
      <c r="J434" s="19">
        <f t="shared" si="254"/>
        <v>-1459</v>
      </c>
      <c r="K434" s="106"/>
      <c r="L434" s="107"/>
      <c r="M434" s="26">
        <f t="shared" si="255"/>
        <v>-1459</v>
      </c>
      <c r="N434" s="117"/>
      <c r="O434" s="117"/>
      <c r="P434" s="19">
        <f t="shared" si="256"/>
        <v>-1459</v>
      </c>
      <c r="Q434" s="106"/>
      <c r="R434" s="107"/>
      <c r="S434" s="26">
        <f t="shared" si="257"/>
        <v>-1459</v>
      </c>
      <c r="T434" s="136"/>
      <c r="U434" s="136"/>
      <c r="V434" s="45">
        <f t="shared" si="258"/>
        <v>-1459</v>
      </c>
      <c r="W434" s="143"/>
    </row>
    <row r="435" spans="1:23" ht="15.75" customHeight="1">
      <c r="A435" s="114"/>
      <c r="B435" s="117"/>
      <c r="C435" s="117"/>
      <c r="D435" s="19">
        <f t="shared" si="252"/>
        <v>-1459</v>
      </c>
      <c r="E435" s="106"/>
      <c r="F435" s="107"/>
      <c r="G435" s="26">
        <f t="shared" si="253"/>
        <v>-1459</v>
      </c>
      <c r="H435" s="133"/>
      <c r="I435" s="117"/>
      <c r="J435" s="19">
        <f t="shared" si="254"/>
        <v>-1459</v>
      </c>
      <c r="K435" s="106"/>
      <c r="L435" s="107"/>
      <c r="M435" s="26">
        <f t="shared" si="255"/>
        <v>-1459</v>
      </c>
      <c r="N435" s="117"/>
      <c r="O435" s="117"/>
      <c r="P435" s="19">
        <f t="shared" si="256"/>
        <v>-1459</v>
      </c>
      <c r="Q435" s="106"/>
      <c r="R435" s="107"/>
      <c r="S435" s="26">
        <f t="shared" si="257"/>
        <v>-1459</v>
      </c>
      <c r="T435" s="136"/>
      <c r="U435" s="136"/>
      <c r="V435" s="45">
        <f t="shared" si="258"/>
        <v>-1459</v>
      </c>
      <c r="W435" s="143"/>
    </row>
    <row r="436" spans="1:23" ht="15.75" customHeight="1">
      <c r="A436" s="114"/>
      <c r="B436" s="117"/>
      <c r="C436" s="117"/>
      <c r="D436" s="19">
        <f t="shared" si="252"/>
        <v>-1459</v>
      </c>
      <c r="E436" s="106"/>
      <c r="F436" s="107"/>
      <c r="G436" s="26">
        <f t="shared" si="253"/>
        <v>-1459</v>
      </c>
      <c r="H436" s="133"/>
      <c r="I436" s="117"/>
      <c r="J436" s="19">
        <f t="shared" si="254"/>
        <v>-1459</v>
      </c>
      <c r="K436" s="106"/>
      <c r="L436" s="107"/>
      <c r="M436" s="26">
        <f t="shared" si="255"/>
        <v>-1459</v>
      </c>
      <c r="N436" s="117"/>
      <c r="O436" s="117"/>
      <c r="P436" s="19">
        <f t="shared" si="256"/>
        <v>-1459</v>
      </c>
      <c r="Q436" s="106"/>
      <c r="R436" s="107"/>
      <c r="S436" s="26">
        <f t="shared" si="257"/>
        <v>-1459</v>
      </c>
      <c r="T436" s="136"/>
      <c r="U436" s="136"/>
      <c r="V436" s="45">
        <f t="shared" si="258"/>
        <v>-1459</v>
      </c>
      <c r="W436" s="143"/>
    </row>
    <row r="437" spans="1:23" ht="15.75" customHeight="1">
      <c r="A437" s="114"/>
      <c r="B437" s="117"/>
      <c r="C437" s="117"/>
      <c r="D437" s="19">
        <f t="shared" si="252"/>
        <v>-1459</v>
      </c>
      <c r="E437" s="122"/>
      <c r="F437" s="123"/>
      <c r="G437" s="26">
        <f t="shared" si="253"/>
        <v>-1459</v>
      </c>
      <c r="H437" s="133"/>
      <c r="I437" s="117"/>
      <c r="J437" s="19">
        <f t="shared" si="254"/>
        <v>-1459</v>
      </c>
      <c r="K437" s="122"/>
      <c r="L437" s="123"/>
      <c r="M437" s="26">
        <f t="shared" si="255"/>
        <v>-1459</v>
      </c>
      <c r="N437" s="117"/>
      <c r="O437" s="117"/>
      <c r="P437" s="19">
        <f t="shared" si="256"/>
        <v>-1459</v>
      </c>
      <c r="Q437" s="106"/>
      <c r="R437" s="107"/>
      <c r="S437" s="26">
        <f t="shared" si="257"/>
        <v>-1459</v>
      </c>
      <c r="T437" s="136"/>
      <c r="U437" s="136"/>
      <c r="V437" s="45">
        <f t="shared" si="258"/>
        <v>-1459</v>
      </c>
      <c r="W437" s="143"/>
    </row>
    <row r="438" spans="1:23" ht="15.75" customHeight="1">
      <c r="A438" s="114"/>
      <c r="B438" s="128"/>
      <c r="C438" s="128"/>
      <c r="D438" s="29">
        <f t="shared" si="252"/>
        <v>-1459</v>
      </c>
      <c r="E438" s="122"/>
      <c r="F438" s="123"/>
      <c r="G438" s="53">
        <f t="shared" si="253"/>
        <v>-1459</v>
      </c>
      <c r="H438" s="140"/>
      <c r="I438" s="128"/>
      <c r="J438" s="29">
        <f t="shared" si="254"/>
        <v>-1459</v>
      </c>
      <c r="K438" s="122"/>
      <c r="L438" s="123"/>
      <c r="M438" s="39">
        <f t="shared" si="255"/>
        <v>-1459</v>
      </c>
      <c r="N438" s="128"/>
      <c r="O438" s="128"/>
      <c r="P438" s="55">
        <f t="shared" si="256"/>
        <v>-1459</v>
      </c>
      <c r="Q438" s="124"/>
      <c r="R438" s="123"/>
      <c r="S438" s="39">
        <f t="shared" si="257"/>
        <v>-1459</v>
      </c>
      <c r="T438" s="141"/>
      <c r="U438" s="141"/>
      <c r="V438" s="46">
        <f t="shared" si="258"/>
        <v>-1459</v>
      </c>
      <c r="W438" s="143"/>
    </row>
    <row r="439" spans="1:23" ht="15.75" customHeight="1">
      <c r="A439" s="87"/>
      <c r="B439" s="77">
        <f ca="1">IFERROR(__xludf.DUMMYFUNCTION("DATE(VALUE(LEFT($B$2,4)),VALUE(MID($B$2,6,2)),VALUE(RIGHT($B$2,2)))
+ (VALUE(REGEXEXTRACT(INDIRECT(""A""&amp;ROW()+1),""\d+""))-1)*7
+ INT((COLUMN()-COLUMN($B439))/3)
"),47006)</f>
        <v>47006</v>
      </c>
      <c r="C439" s="81"/>
      <c r="D439" s="82"/>
      <c r="E439" s="77">
        <f ca="1">IFERROR(__xludf.DUMMYFUNCTION("DATE(VALUE(LEFT($B$2,4)),VALUE(MID($B$2,6,2)),VALUE(RIGHT($B$2,2)))
+ (VALUE(REGEXEXTRACT(INDIRECT(""A""&amp;ROW()+1),""\d+""))-1)*7
+ INT((COLUMN()-COLUMN($B439))/3)
"),47007)</f>
        <v>47007</v>
      </c>
      <c r="F439" s="81"/>
      <c r="G439" s="82"/>
      <c r="H439" s="77">
        <f ca="1">IFERROR(__xludf.DUMMYFUNCTION("DATE(VALUE(LEFT($B$2,4)),VALUE(MID($B$2,6,2)),VALUE(RIGHT($B$2,2)))
+ (VALUE(REGEXEXTRACT(INDIRECT(""A""&amp;ROW()+1),""\d+""))-1)*7
+ INT((COLUMN()-COLUMN($B439))/3)
"),47008)</f>
        <v>47008</v>
      </c>
      <c r="I439" s="81"/>
      <c r="J439" s="82"/>
      <c r="K439" s="77">
        <f ca="1">IFERROR(__xludf.DUMMYFUNCTION("DATE(VALUE(LEFT($B$2,4)),VALUE(MID($B$2,6,2)),VALUE(RIGHT($B$2,2)))
+ (VALUE(REGEXEXTRACT(INDIRECT(""A""&amp;ROW()+1),""\d+""))-1)*7
+ INT((COLUMN()-COLUMN($B439))/3)
"),47009)</f>
        <v>47009</v>
      </c>
      <c r="L439" s="81"/>
      <c r="M439" s="82"/>
      <c r="N439" s="77">
        <f ca="1">IFERROR(__xludf.DUMMYFUNCTION("DATE(VALUE(LEFT($B$2,4)),VALUE(MID($B$2,6,2)),VALUE(RIGHT($B$2,2)))
+ (VALUE(REGEXEXTRACT(INDIRECT(""A""&amp;ROW()+1),""\d+""))-1)*7
+ INT((COLUMN()-COLUMN($B439))/3)
"),47010)</f>
        <v>47010</v>
      </c>
      <c r="O439" s="81"/>
      <c r="P439" s="82"/>
      <c r="Q439" s="77">
        <f ca="1">IFERROR(__xludf.DUMMYFUNCTION("DATE(VALUE(LEFT($B$2,4)),VALUE(MID($B$2,6,2)),VALUE(RIGHT($B$2,2)))
+ (VALUE(REGEXEXTRACT(INDIRECT(""A""&amp;ROW()+1),""\d+""))-1)*7
+ INT((COLUMN()-COLUMN($B439))/3)
"),47011)</f>
        <v>47011</v>
      </c>
      <c r="R439" s="81"/>
      <c r="S439" s="82"/>
      <c r="T439" s="77">
        <f ca="1">IFERROR(__xludf.DUMMYFUNCTION("DATE(VALUE(LEFT($B$2,4)),VALUE(MID($B$2,6,2)),VALUE(RIGHT($B$2,2)))
+ (VALUE(REGEXEXTRACT(INDIRECT(""A""&amp;ROW()+1),""\d+""))-1)*7
+ INT((COLUMN()-COLUMN($B439))/3)
"),47012)</f>
        <v>47012</v>
      </c>
      <c r="U439" s="81"/>
      <c r="V439" s="82"/>
      <c r="W439" s="143"/>
    </row>
    <row r="440" spans="1:23" ht="15.75" customHeight="1">
      <c r="A440" s="51" t="s">
        <v>166</v>
      </c>
      <c r="B440" s="112"/>
      <c r="C440" s="111"/>
      <c r="D440" s="17">
        <f>V438+C440</f>
        <v>-1459</v>
      </c>
      <c r="E440" s="109"/>
      <c r="F440" s="109"/>
      <c r="G440" s="54">
        <f>D450+F440</f>
        <v>-1459</v>
      </c>
      <c r="H440" s="110"/>
      <c r="I440" s="111"/>
      <c r="J440" s="17">
        <f>G450+I440</f>
        <v>-1459</v>
      </c>
      <c r="K440" s="109"/>
      <c r="L440" s="109"/>
      <c r="M440" s="35">
        <f>J450+L440</f>
        <v>-1459</v>
      </c>
      <c r="N440" s="112"/>
      <c r="O440" s="111"/>
      <c r="P440" s="17">
        <f>M450+O440</f>
        <v>-1459</v>
      </c>
      <c r="Q440" s="109"/>
      <c r="R440" s="109"/>
      <c r="S440" s="35">
        <f>P450+R440</f>
        <v>-1459</v>
      </c>
      <c r="T440" s="112"/>
      <c r="U440" s="111"/>
      <c r="V440" s="48">
        <f>S450+U440</f>
        <v>-1459</v>
      </c>
      <c r="W440" s="143"/>
    </row>
    <row r="441" spans="1:23" ht="15.75" customHeight="1">
      <c r="A441" s="114"/>
      <c r="B441" s="106"/>
      <c r="C441" s="107"/>
      <c r="D441" s="26">
        <f t="shared" ref="D441:D450" si="259">D440+C441</f>
        <v>-1459</v>
      </c>
      <c r="E441" s="117"/>
      <c r="F441" s="117"/>
      <c r="G441" s="19">
        <f t="shared" ref="G441:G450" si="260">G440+F441</f>
        <v>-1459</v>
      </c>
      <c r="H441" s="116"/>
      <c r="I441" s="107"/>
      <c r="J441" s="26">
        <f t="shared" ref="J441:J450" si="261">J440+I441</f>
        <v>-1459</v>
      </c>
      <c r="K441" s="117"/>
      <c r="L441" s="117"/>
      <c r="M441" s="38">
        <f t="shared" ref="M441:M450" si="262">M440+L441</f>
        <v>-1459</v>
      </c>
      <c r="N441" s="106"/>
      <c r="O441" s="107"/>
      <c r="P441" s="26">
        <f t="shared" ref="P441:P450" si="263">P440+O441</f>
        <v>-1459</v>
      </c>
      <c r="Q441" s="117"/>
      <c r="R441" s="117"/>
      <c r="S441" s="38">
        <f t="shared" ref="S441:S450" si="264">S440+R441</f>
        <v>-1459</v>
      </c>
      <c r="T441" s="106"/>
      <c r="U441" s="107"/>
      <c r="V441" s="20">
        <f t="shared" ref="V441:V450" si="265">V440+U441</f>
        <v>-1459</v>
      </c>
      <c r="W441" s="143"/>
    </row>
    <row r="442" spans="1:23" ht="15.75" customHeight="1">
      <c r="A442" s="114"/>
      <c r="B442" s="106"/>
      <c r="C442" s="107"/>
      <c r="D442" s="26">
        <f t="shared" si="259"/>
        <v>-1459</v>
      </c>
      <c r="E442" s="117"/>
      <c r="F442" s="117"/>
      <c r="G442" s="19">
        <f t="shared" si="260"/>
        <v>-1459</v>
      </c>
      <c r="H442" s="116"/>
      <c r="I442" s="107"/>
      <c r="J442" s="26">
        <f t="shared" si="261"/>
        <v>-1459</v>
      </c>
      <c r="K442" s="117"/>
      <c r="L442" s="117"/>
      <c r="M442" s="38">
        <f t="shared" si="262"/>
        <v>-1459</v>
      </c>
      <c r="N442" s="106"/>
      <c r="O442" s="107"/>
      <c r="P442" s="26">
        <f t="shared" si="263"/>
        <v>-1459</v>
      </c>
      <c r="Q442" s="117"/>
      <c r="R442" s="117"/>
      <c r="S442" s="38">
        <f t="shared" si="264"/>
        <v>-1459</v>
      </c>
      <c r="T442" s="106"/>
      <c r="U442" s="116"/>
      <c r="V442" s="20">
        <f t="shared" si="265"/>
        <v>-1459</v>
      </c>
      <c r="W442" s="143"/>
    </row>
    <row r="443" spans="1:23" ht="15.75" customHeight="1">
      <c r="A443" s="114"/>
      <c r="B443" s="106"/>
      <c r="C443" s="107"/>
      <c r="D443" s="26">
        <f t="shared" si="259"/>
        <v>-1459</v>
      </c>
      <c r="E443" s="117"/>
      <c r="F443" s="117"/>
      <c r="G443" s="19">
        <f t="shared" si="260"/>
        <v>-1459</v>
      </c>
      <c r="H443" s="116"/>
      <c r="I443" s="107"/>
      <c r="J443" s="26">
        <f t="shared" si="261"/>
        <v>-1459</v>
      </c>
      <c r="K443" s="117"/>
      <c r="L443" s="117"/>
      <c r="M443" s="38">
        <f t="shared" si="262"/>
        <v>-1459</v>
      </c>
      <c r="N443" s="106"/>
      <c r="O443" s="107"/>
      <c r="P443" s="26">
        <f t="shared" si="263"/>
        <v>-1459</v>
      </c>
      <c r="Q443" s="117"/>
      <c r="R443" s="117"/>
      <c r="S443" s="38">
        <f t="shared" si="264"/>
        <v>-1459</v>
      </c>
      <c r="T443" s="106"/>
      <c r="U443" s="116"/>
      <c r="V443" s="20">
        <f t="shared" si="265"/>
        <v>-1459</v>
      </c>
      <c r="W443" s="143"/>
    </row>
    <row r="444" spans="1:23" ht="15.75" customHeight="1">
      <c r="A444" s="114"/>
      <c r="B444" s="106"/>
      <c r="C444" s="107"/>
      <c r="D444" s="26">
        <f t="shared" si="259"/>
        <v>-1459</v>
      </c>
      <c r="E444" s="117"/>
      <c r="F444" s="117"/>
      <c r="G444" s="19">
        <f t="shared" si="260"/>
        <v>-1459</v>
      </c>
      <c r="H444" s="116"/>
      <c r="I444" s="107"/>
      <c r="J444" s="26">
        <f t="shared" si="261"/>
        <v>-1459</v>
      </c>
      <c r="K444" s="117"/>
      <c r="L444" s="117"/>
      <c r="M444" s="38">
        <f t="shared" si="262"/>
        <v>-1459</v>
      </c>
      <c r="N444" s="106"/>
      <c r="O444" s="107"/>
      <c r="P444" s="26">
        <f t="shared" si="263"/>
        <v>-1459</v>
      </c>
      <c r="Q444" s="117"/>
      <c r="R444" s="117"/>
      <c r="S444" s="38">
        <f t="shared" si="264"/>
        <v>-1459</v>
      </c>
      <c r="T444" s="106"/>
      <c r="U444" s="116"/>
      <c r="V444" s="20">
        <f t="shared" si="265"/>
        <v>-1459</v>
      </c>
      <c r="W444" s="143"/>
    </row>
    <row r="445" spans="1:23" ht="15.75" customHeight="1">
      <c r="A445" s="114"/>
      <c r="B445" s="106"/>
      <c r="C445" s="107"/>
      <c r="D445" s="26">
        <f t="shared" si="259"/>
        <v>-1459</v>
      </c>
      <c r="E445" s="117"/>
      <c r="F445" s="117"/>
      <c r="G445" s="19">
        <f t="shared" si="260"/>
        <v>-1459</v>
      </c>
      <c r="H445" s="116"/>
      <c r="I445" s="107"/>
      <c r="J445" s="26">
        <f t="shared" si="261"/>
        <v>-1459</v>
      </c>
      <c r="K445" s="117"/>
      <c r="L445" s="117"/>
      <c r="M445" s="38">
        <f t="shared" si="262"/>
        <v>-1459</v>
      </c>
      <c r="N445" s="106"/>
      <c r="O445" s="107"/>
      <c r="P445" s="26">
        <f t="shared" si="263"/>
        <v>-1459</v>
      </c>
      <c r="Q445" s="117"/>
      <c r="R445" s="117"/>
      <c r="S445" s="38">
        <f t="shared" si="264"/>
        <v>-1459</v>
      </c>
      <c r="T445" s="106"/>
      <c r="U445" s="116"/>
      <c r="V445" s="20">
        <f t="shared" si="265"/>
        <v>-1459</v>
      </c>
      <c r="W445" s="143"/>
    </row>
    <row r="446" spans="1:23" ht="15.75" customHeight="1">
      <c r="A446" s="114"/>
      <c r="B446" s="106"/>
      <c r="C446" s="107"/>
      <c r="D446" s="26">
        <f t="shared" si="259"/>
        <v>-1459</v>
      </c>
      <c r="E446" s="117"/>
      <c r="F446" s="117"/>
      <c r="G446" s="19">
        <f t="shared" si="260"/>
        <v>-1459</v>
      </c>
      <c r="H446" s="116"/>
      <c r="I446" s="107"/>
      <c r="J446" s="26">
        <f t="shared" si="261"/>
        <v>-1459</v>
      </c>
      <c r="K446" s="117"/>
      <c r="L446" s="117"/>
      <c r="M446" s="38">
        <f t="shared" si="262"/>
        <v>-1459</v>
      </c>
      <c r="N446" s="106"/>
      <c r="O446" s="107"/>
      <c r="P446" s="26">
        <f t="shared" si="263"/>
        <v>-1459</v>
      </c>
      <c r="Q446" s="117"/>
      <c r="R446" s="117"/>
      <c r="S446" s="38">
        <f t="shared" si="264"/>
        <v>-1459</v>
      </c>
      <c r="T446" s="106"/>
      <c r="U446" s="116"/>
      <c r="V446" s="20">
        <f t="shared" si="265"/>
        <v>-1459</v>
      </c>
      <c r="W446" s="143"/>
    </row>
    <row r="447" spans="1:23" ht="15.75" customHeight="1">
      <c r="A447" s="114"/>
      <c r="B447" s="106"/>
      <c r="C447" s="107"/>
      <c r="D447" s="26">
        <f t="shared" si="259"/>
        <v>-1459</v>
      </c>
      <c r="E447" s="117"/>
      <c r="F447" s="117"/>
      <c r="G447" s="19">
        <f t="shared" si="260"/>
        <v>-1459</v>
      </c>
      <c r="H447" s="116"/>
      <c r="I447" s="107"/>
      <c r="J447" s="26">
        <f t="shared" si="261"/>
        <v>-1459</v>
      </c>
      <c r="K447" s="117"/>
      <c r="L447" s="117"/>
      <c r="M447" s="38">
        <f t="shared" si="262"/>
        <v>-1459</v>
      </c>
      <c r="N447" s="106"/>
      <c r="O447" s="107"/>
      <c r="P447" s="26">
        <f t="shared" si="263"/>
        <v>-1459</v>
      </c>
      <c r="Q447" s="117"/>
      <c r="R447" s="117"/>
      <c r="S447" s="38">
        <f t="shared" si="264"/>
        <v>-1459</v>
      </c>
      <c r="T447" s="106"/>
      <c r="U447" s="116"/>
      <c r="V447" s="20">
        <f t="shared" si="265"/>
        <v>-1459</v>
      </c>
      <c r="W447" s="143"/>
    </row>
    <row r="448" spans="1:23" ht="15.75" customHeight="1">
      <c r="A448" s="114"/>
      <c r="B448" s="122"/>
      <c r="C448" s="123"/>
      <c r="D448" s="26">
        <f t="shared" si="259"/>
        <v>-1459</v>
      </c>
      <c r="E448" s="117"/>
      <c r="F448" s="117"/>
      <c r="G448" s="19">
        <f t="shared" si="260"/>
        <v>-1459</v>
      </c>
      <c r="H448" s="124"/>
      <c r="I448" s="123"/>
      <c r="J448" s="26">
        <f t="shared" si="261"/>
        <v>-1459</v>
      </c>
      <c r="K448" s="117"/>
      <c r="L448" s="117"/>
      <c r="M448" s="38">
        <f t="shared" si="262"/>
        <v>-1459</v>
      </c>
      <c r="N448" s="122"/>
      <c r="O448" s="123"/>
      <c r="P448" s="26">
        <f t="shared" si="263"/>
        <v>-1459</v>
      </c>
      <c r="Q448" s="117"/>
      <c r="R448" s="117"/>
      <c r="S448" s="38">
        <f t="shared" si="264"/>
        <v>-1459</v>
      </c>
      <c r="T448" s="106"/>
      <c r="U448" s="116"/>
      <c r="V448" s="20">
        <f t="shared" si="265"/>
        <v>-1459</v>
      </c>
      <c r="W448" s="143"/>
    </row>
    <row r="449" spans="1:23" ht="15.75" customHeight="1">
      <c r="A449" s="114"/>
      <c r="B449" s="122"/>
      <c r="C449" s="123"/>
      <c r="D449" s="26">
        <f t="shared" si="259"/>
        <v>-1459</v>
      </c>
      <c r="E449" s="117"/>
      <c r="F449" s="117"/>
      <c r="G449" s="19">
        <f t="shared" si="260"/>
        <v>-1459</v>
      </c>
      <c r="H449" s="124"/>
      <c r="I449" s="123"/>
      <c r="J449" s="26">
        <f t="shared" si="261"/>
        <v>-1459</v>
      </c>
      <c r="K449" s="117"/>
      <c r="L449" s="117"/>
      <c r="M449" s="38">
        <f t="shared" si="262"/>
        <v>-1459</v>
      </c>
      <c r="N449" s="122"/>
      <c r="O449" s="123"/>
      <c r="P449" s="26">
        <f t="shared" si="263"/>
        <v>-1459</v>
      </c>
      <c r="Q449" s="117"/>
      <c r="R449" s="117"/>
      <c r="S449" s="38">
        <f t="shared" si="264"/>
        <v>-1459</v>
      </c>
      <c r="T449" s="122"/>
      <c r="U449" s="124"/>
      <c r="V449" s="20">
        <f t="shared" si="265"/>
        <v>-1459</v>
      </c>
      <c r="W449" s="143"/>
    </row>
    <row r="450" spans="1:23" ht="15.75" customHeight="1">
      <c r="A450" s="114"/>
      <c r="B450" s="122"/>
      <c r="C450" s="123"/>
      <c r="D450" s="39">
        <f t="shared" si="259"/>
        <v>-1459</v>
      </c>
      <c r="E450" s="128"/>
      <c r="F450" s="128"/>
      <c r="G450" s="55">
        <f t="shared" si="260"/>
        <v>-1459</v>
      </c>
      <c r="H450" s="124"/>
      <c r="I450" s="123"/>
      <c r="J450" s="39">
        <f t="shared" si="261"/>
        <v>-1459</v>
      </c>
      <c r="K450" s="128"/>
      <c r="L450" s="128"/>
      <c r="M450" s="40">
        <f t="shared" si="262"/>
        <v>-1459</v>
      </c>
      <c r="N450" s="122"/>
      <c r="O450" s="123"/>
      <c r="P450" s="39">
        <f t="shared" si="263"/>
        <v>-1459</v>
      </c>
      <c r="Q450" s="128"/>
      <c r="R450" s="128"/>
      <c r="S450" s="40">
        <f t="shared" si="264"/>
        <v>-1459</v>
      </c>
      <c r="T450" s="122"/>
      <c r="U450" s="123"/>
      <c r="V450" s="49">
        <f t="shared" si="265"/>
        <v>-1459</v>
      </c>
      <c r="W450" s="143"/>
    </row>
    <row r="451" spans="1:23" ht="15.75" customHeight="1">
      <c r="A451" s="87"/>
      <c r="B451" s="77">
        <f ca="1">IFERROR(__xludf.DUMMYFUNCTION("DATE(VALUE(LEFT($B$2,4)),VALUE(MID($B$2,6,2)),VALUE(RIGHT($B$2,2)))
+ (VALUE(REGEXEXTRACT(INDIRECT(""A""&amp;ROW()+1),""\d+""))-1)*7
+ INT((COLUMN()-COLUMN($B451))/3)
"),47013)</f>
        <v>47013</v>
      </c>
      <c r="C451" s="81"/>
      <c r="D451" s="82"/>
      <c r="E451" s="77">
        <f ca="1">IFERROR(__xludf.DUMMYFUNCTION("DATE(VALUE(LEFT($B$2,4)),VALUE(MID($B$2,6,2)),VALUE(RIGHT($B$2,2)))
+ (VALUE(REGEXEXTRACT(INDIRECT(""A""&amp;ROW()+1),""\d+""))-1)*7
+ INT((COLUMN()-COLUMN($B451))/3)
"),47014)</f>
        <v>47014</v>
      </c>
      <c r="F451" s="81"/>
      <c r="G451" s="82"/>
      <c r="H451" s="77">
        <f ca="1">IFERROR(__xludf.DUMMYFUNCTION("DATE(VALUE(LEFT($B$2,4)),VALUE(MID($B$2,6,2)),VALUE(RIGHT($B$2,2)))
+ (VALUE(REGEXEXTRACT(INDIRECT(""A""&amp;ROW()+1),""\d+""))-1)*7
+ INT((COLUMN()-COLUMN($B451))/3)
"),47015)</f>
        <v>47015</v>
      </c>
      <c r="I451" s="81"/>
      <c r="J451" s="82"/>
      <c r="K451" s="77">
        <f ca="1">IFERROR(__xludf.DUMMYFUNCTION("DATE(VALUE(LEFT($B$2,4)),VALUE(MID($B$2,6,2)),VALUE(RIGHT($B$2,2)))
+ (VALUE(REGEXEXTRACT(INDIRECT(""A""&amp;ROW()+1),""\d+""))-1)*7
+ INT((COLUMN()-COLUMN($B451))/3)
"),47016)</f>
        <v>47016</v>
      </c>
      <c r="L451" s="81"/>
      <c r="M451" s="82"/>
      <c r="N451" s="77">
        <f ca="1">IFERROR(__xludf.DUMMYFUNCTION("DATE(VALUE(LEFT($B$2,4)),VALUE(MID($B$2,6,2)),VALUE(RIGHT($B$2,2)))
+ (VALUE(REGEXEXTRACT(INDIRECT(""A""&amp;ROW()+1),""\d+""))-1)*7
+ INT((COLUMN()-COLUMN($B451))/3)
"),47017)</f>
        <v>47017</v>
      </c>
      <c r="O451" s="81"/>
      <c r="P451" s="82"/>
      <c r="Q451" s="77">
        <f ca="1">IFERROR(__xludf.DUMMYFUNCTION("DATE(VALUE(LEFT($B$2,4)),VALUE(MID($B$2,6,2)),VALUE(RIGHT($B$2,2)))
+ (VALUE(REGEXEXTRACT(INDIRECT(""A""&amp;ROW()+1),""\d+""))-1)*7
+ INT((COLUMN()-COLUMN($B451))/3)
"),47018)</f>
        <v>47018</v>
      </c>
      <c r="R451" s="81"/>
      <c r="S451" s="82"/>
      <c r="T451" s="77">
        <f ca="1">IFERROR(__xludf.DUMMYFUNCTION("DATE(VALUE(LEFT($B$2,4)),VALUE(MID($B$2,6,2)),VALUE(RIGHT($B$2,2)))
+ (VALUE(REGEXEXTRACT(INDIRECT(""A""&amp;ROW()+1),""\d+""))-1)*7
+ INT((COLUMN()-COLUMN($B451))/3)
"),47019)</f>
        <v>47019</v>
      </c>
      <c r="U451" s="81"/>
      <c r="V451" s="82"/>
      <c r="W451" s="52" t="s">
        <v>20</v>
      </c>
    </row>
    <row r="452" spans="1:23" ht="15.75" customHeight="1">
      <c r="A452" s="47" t="s">
        <v>167</v>
      </c>
      <c r="B452" s="113"/>
      <c r="C452" s="109"/>
      <c r="D452" s="42">
        <f>V450+C452</f>
        <v>-1459</v>
      </c>
      <c r="E452" s="112"/>
      <c r="F452" s="111"/>
      <c r="G452" s="36">
        <f>D462+F452</f>
        <v>-1459</v>
      </c>
      <c r="H452" s="132"/>
      <c r="I452" s="109"/>
      <c r="J452" s="42">
        <f>G462+I452</f>
        <v>-1459</v>
      </c>
      <c r="K452" s="112"/>
      <c r="L452" s="111"/>
      <c r="M452" s="18">
        <f>J462+L452</f>
        <v>-1459</v>
      </c>
      <c r="N452" s="113"/>
      <c r="O452" s="109"/>
      <c r="P452" s="35">
        <f>M462+O452</f>
        <v>-1459</v>
      </c>
      <c r="Q452" s="112"/>
      <c r="R452" s="111"/>
      <c r="S452" s="18">
        <f>P462+R452</f>
        <v>-1459</v>
      </c>
      <c r="T452" s="173"/>
      <c r="U452" s="173"/>
      <c r="V452" s="50">
        <f>S462+U452</f>
        <v>-1459</v>
      </c>
      <c r="W452" s="172"/>
    </row>
    <row r="453" spans="1:23" ht="15.75" customHeight="1">
      <c r="A453" s="114"/>
      <c r="B453" s="118"/>
      <c r="C453" s="117"/>
      <c r="D453" s="19">
        <f t="shared" ref="D453:D462" si="266">D452+C453</f>
        <v>-1459</v>
      </c>
      <c r="E453" s="106"/>
      <c r="F453" s="107"/>
      <c r="G453" s="26">
        <f t="shared" ref="G453:G462" si="267">G452+F453</f>
        <v>-1459</v>
      </c>
      <c r="H453" s="133"/>
      <c r="I453" s="117"/>
      <c r="J453" s="19">
        <f t="shared" ref="J453:J462" si="268">J452+I453</f>
        <v>-1459</v>
      </c>
      <c r="K453" s="106"/>
      <c r="L453" s="107"/>
      <c r="M453" s="26">
        <f t="shared" ref="M453:M462" si="269">M452+L453</f>
        <v>-1459</v>
      </c>
      <c r="N453" s="118"/>
      <c r="O453" s="117"/>
      <c r="P453" s="38">
        <f t="shared" ref="P453:P462" si="270">P452+O453</f>
        <v>-1459</v>
      </c>
      <c r="Q453" s="106"/>
      <c r="R453" s="107"/>
      <c r="S453" s="26">
        <f t="shared" ref="S453:S462" si="271">S452+R453</f>
        <v>-1459</v>
      </c>
      <c r="T453" s="136"/>
      <c r="U453" s="136"/>
      <c r="V453" s="45">
        <f t="shared" ref="V453:V462" si="272">V452+U453</f>
        <v>-1459</v>
      </c>
      <c r="W453" s="143"/>
    </row>
    <row r="454" spans="1:23" ht="15.75" customHeight="1">
      <c r="A454" s="114"/>
      <c r="B454" s="118"/>
      <c r="C454" s="117"/>
      <c r="D454" s="19">
        <f t="shared" si="266"/>
        <v>-1459</v>
      </c>
      <c r="E454" s="106"/>
      <c r="F454" s="107"/>
      <c r="G454" s="26">
        <f t="shared" si="267"/>
        <v>-1459</v>
      </c>
      <c r="H454" s="133"/>
      <c r="I454" s="117"/>
      <c r="J454" s="19">
        <f t="shared" si="268"/>
        <v>-1459</v>
      </c>
      <c r="K454" s="106"/>
      <c r="L454" s="107"/>
      <c r="M454" s="26">
        <f t="shared" si="269"/>
        <v>-1459</v>
      </c>
      <c r="N454" s="117"/>
      <c r="O454" s="117"/>
      <c r="P454" s="38">
        <f t="shared" si="270"/>
        <v>-1459</v>
      </c>
      <c r="Q454" s="106"/>
      <c r="R454" s="107"/>
      <c r="S454" s="26">
        <f t="shared" si="271"/>
        <v>-1459</v>
      </c>
      <c r="T454" s="136"/>
      <c r="U454" s="136"/>
      <c r="V454" s="45">
        <f t="shared" si="272"/>
        <v>-1459</v>
      </c>
      <c r="W454" s="143"/>
    </row>
    <row r="455" spans="1:23" ht="15.75" customHeight="1">
      <c r="A455" s="114"/>
      <c r="B455" s="118"/>
      <c r="C455" s="117"/>
      <c r="D455" s="19">
        <f t="shared" si="266"/>
        <v>-1459</v>
      </c>
      <c r="E455" s="106"/>
      <c r="F455" s="107"/>
      <c r="G455" s="26">
        <f t="shared" si="267"/>
        <v>-1459</v>
      </c>
      <c r="H455" s="133"/>
      <c r="I455" s="117"/>
      <c r="J455" s="19">
        <f t="shared" si="268"/>
        <v>-1459</v>
      </c>
      <c r="K455" s="106"/>
      <c r="L455" s="107"/>
      <c r="M455" s="26">
        <f t="shared" si="269"/>
        <v>-1459</v>
      </c>
      <c r="N455" s="117"/>
      <c r="O455" s="117"/>
      <c r="P455" s="38">
        <f t="shared" si="270"/>
        <v>-1459</v>
      </c>
      <c r="Q455" s="106"/>
      <c r="R455" s="107"/>
      <c r="S455" s="26">
        <f t="shared" si="271"/>
        <v>-1459</v>
      </c>
      <c r="T455" s="136"/>
      <c r="U455" s="136"/>
      <c r="V455" s="45">
        <f t="shared" si="272"/>
        <v>-1459</v>
      </c>
      <c r="W455" s="143"/>
    </row>
    <row r="456" spans="1:23" ht="15.75" customHeight="1">
      <c r="A456" s="114"/>
      <c r="B456" s="118"/>
      <c r="C456" s="117"/>
      <c r="D456" s="19">
        <f t="shared" si="266"/>
        <v>-1459</v>
      </c>
      <c r="E456" s="106"/>
      <c r="F456" s="107"/>
      <c r="G456" s="26">
        <f t="shared" si="267"/>
        <v>-1459</v>
      </c>
      <c r="H456" s="133"/>
      <c r="I456" s="117"/>
      <c r="J456" s="19">
        <f t="shared" si="268"/>
        <v>-1459</v>
      </c>
      <c r="K456" s="106"/>
      <c r="L456" s="107"/>
      <c r="M456" s="26">
        <f t="shared" si="269"/>
        <v>-1459</v>
      </c>
      <c r="N456" s="117"/>
      <c r="O456" s="117"/>
      <c r="P456" s="38">
        <f t="shared" si="270"/>
        <v>-1459</v>
      </c>
      <c r="Q456" s="106"/>
      <c r="R456" s="107"/>
      <c r="S456" s="26">
        <f t="shared" si="271"/>
        <v>-1459</v>
      </c>
      <c r="T456" s="136"/>
      <c r="U456" s="136"/>
      <c r="V456" s="45">
        <f t="shared" si="272"/>
        <v>-1459</v>
      </c>
      <c r="W456" s="143"/>
    </row>
    <row r="457" spans="1:23" ht="15.75" customHeight="1">
      <c r="A457" s="114"/>
      <c r="B457" s="118"/>
      <c r="C457" s="117"/>
      <c r="D457" s="19">
        <f t="shared" si="266"/>
        <v>-1459</v>
      </c>
      <c r="E457" s="106"/>
      <c r="F457" s="107"/>
      <c r="G457" s="26">
        <f t="shared" si="267"/>
        <v>-1459</v>
      </c>
      <c r="H457" s="133"/>
      <c r="I457" s="117"/>
      <c r="J457" s="19">
        <f t="shared" si="268"/>
        <v>-1459</v>
      </c>
      <c r="K457" s="106"/>
      <c r="L457" s="107"/>
      <c r="M457" s="26">
        <f t="shared" si="269"/>
        <v>-1459</v>
      </c>
      <c r="N457" s="117"/>
      <c r="O457" s="117"/>
      <c r="P457" s="38">
        <f t="shared" si="270"/>
        <v>-1459</v>
      </c>
      <c r="Q457" s="106"/>
      <c r="R457" s="107"/>
      <c r="S457" s="26">
        <f t="shared" si="271"/>
        <v>-1459</v>
      </c>
      <c r="T457" s="136"/>
      <c r="U457" s="136"/>
      <c r="V457" s="45">
        <f t="shared" si="272"/>
        <v>-1459</v>
      </c>
      <c r="W457" s="143"/>
    </row>
    <row r="458" spans="1:23" ht="15.75" customHeight="1">
      <c r="A458" s="114"/>
      <c r="B458" s="117"/>
      <c r="C458" s="117"/>
      <c r="D458" s="19">
        <f t="shared" si="266"/>
        <v>-1459</v>
      </c>
      <c r="E458" s="106"/>
      <c r="F458" s="107"/>
      <c r="G458" s="26">
        <f t="shared" si="267"/>
        <v>-1459</v>
      </c>
      <c r="H458" s="133"/>
      <c r="I458" s="117"/>
      <c r="J458" s="19">
        <f t="shared" si="268"/>
        <v>-1459</v>
      </c>
      <c r="K458" s="106"/>
      <c r="L458" s="107"/>
      <c r="M458" s="26">
        <f t="shared" si="269"/>
        <v>-1459</v>
      </c>
      <c r="N458" s="117"/>
      <c r="O458" s="117"/>
      <c r="P458" s="38">
        <f t="shared" si="270"/>
        <v>-1459</v>
      </c>
      <c r="Q458" s="106"/>
      <c r="R458" s="107"/>
      <c r="S458" s="26">
        <f t="shared" si="271"/>
        <v>-1459</v>
      </c>
      <c r="T458" s="136"/>
      <c r="U458" s="136"/>
      <c r="V458" s="45">
        <f t="shared" si="272"/>
        <v>-1459</v>
      </c>
      <c r="W458" s="143"/>
    </row>
    <row r="459" spans="1:23" ht="15.75" customHeight="1">
      <c r="A459" s="114"/>
      <c r="B459" s="117"/>
      <c r="C459" s="117"/>
      <c r="D459" s="19">
        <f t="shared" si="266"/>
        <v>-1459</v>
      </c>
      <c r="E459" s="106"/>
      <c r="F459" s="107"/>
      <c r="G459" s="26">
        <f t="shared" si="267"/>
        <v>-1459</v>
      </c>
      <c r="H459" s="133"/>
      <c r="I459" s="117"/>
      <c r="J459" s="19">
        <f t="shared" si="268"/>
        <v>-1459</v>
      </c>
      <c r="K459" s="106"/>
      <c r="L459" s="107"/>
      <c r="M459" s="26">
        <f t="shared" si="269"/>
        <v>-1459</v>
      </c>
      <c r="N459" s="117"/>
      <c r="O459" s="117"/>
      <c r="P459" s="38">
        <f t="shared" si="270"/>
        <v>-1459</v>
      </c>
      <c r="Q459" s="106"/>
      <c r="R459" s="107"/>
      <c r="S459" s="26">
        <f t="shared" si="271"/>
        <v>-1459</v>
      </c>
      <c r="T459" s="136"/>
      <c r="U459" s="136"/>
      <c r="V459" s="45">
        <f t="shared" si="272"/>
        <v>-1459</v>
      </c>
      <c r="W459" s="143"/>
    </row>
    <row r="460" spans="1:23" ht="15.75" customHeight="1">
      <c r="A460" s="114"/>
      <c r="B460" s="117"/>
      <c r="C460" s="117"/>
      <c r="D460" s="19">
        <f t="shared" si="266"/>
        <v>-1459</v>
      </c>
      <c r="E460" s="106"/>
      <c r="F460" s="107"/>
      <c r="G460" s="26">
        <f t="shared" si="267"/>
        <v>-1459</v>
      </c>
      <c r="H460" s="133"/>
      <c r="I460" s="117"/>
      <c r="J460" s="19">
        <f t="shared" si="268"/>
        <v>-1459</v>
      </c>
      <c r="K460" s="106"/>
      <c r="L460" s="107"/>
      <c r="M460" s="26">
        <f t="shared" si="269"/>
        <v>-1459</v>
      </c>
      <c r="N460" s="117"/>
      <c r="O460" s="117"/>
      <c r="P460" s="38">
        <f t="shared" si="270"/>
        <v>-1459</v>
      </c>
      <c r="Q460" s="106"/>
      <c r="R460" s="107"/>
      <c r="S460" s="26">
        <f t="shared" si="271"/>
        <v>-1459</v>
      </c>
      <c r="T460" s="136"/>
      <c r="U460" s="136"/>
      <c r="V460" s="45">
        <f t="shared" si="272"/>
        <v>-1459</v>
      </c>
      <c r="W460" s="143"/>
    </row>
    <row r="461" spans="1:23" ht="15.75" customHeight="1">
      <c r="A461" s="114"/>
      <c r="B461" s="117"/>
      <c r="C461" s="117"/>
      <c r="D461" s="19">
        <f t="shared" si="266"/>
        <v>-1459</v>
      </c>
      <c r="E461" s="122"/>
      <c r="F461" s="123"/>
      <c r="G461" s="26">
        <f t="shared" si="267"/>
        <v>-1459</v>
      </c>
      <c r="H461" s="133"/>
      <c r="I461" s="117"/>
      <c r="J461" s="19">
        <f t="shared" si="268"/>
        <v>-1459</v>
      </c>
      <c r="K461" s="122"/>
      <c r="L461" s="123"/>
      <c r="M461" s="26">
        <f t="shared" si="269"/>
        <v>-1459</v>
      </c>
      <c r="N461" s="117"/>
      <c r="O461" s="117"/>
      <c r="P461" s="38">
        <f t="shared" si="270"/>
        <v>-1459</v>
      </c>
      <c r="Q461" s="122"/>
      <c r="R461" s="123"/>
      <c r="S461" s="26">
        <f t="shared" si="271"/>
        <v>-1459</v>
      </c>
      <c r="T461" s="136"/>
      <c r="U461" s="136"/>
      <c r="V461" s="45">
        <f t="shared" si="272"/>
        <v>-1459</v>
      </c>
      <c r="W461" s="143"/>
    </row>
    <row r="462" spans="1:23" ht="15.75" customHeight="1">
      <c r="A462" s="114"/>
      <c r="B462" s="128"/>
      <c r="C462" s="128"/>
      <c r="D462" s="29">
        <f t="shared" si="266"/>
        <v>-1459</v>
      </c>
      <c r="E462" s="122"/>
      <c r="F462" s="123"/>
      <c r="G462" s="53">
        <f t="shared" si="267"/>
        <v>-1459</v>
      </c>
      <c r="H462" s="140"/>
      <c r="I462" s="128"/>
      <c r="J462" s="29">
        <f t="shared" si="268"/>
        <v>-1459</v>
      </c>
      <c r="K462" s="122"/>
      <c r="L462" s="123"/>
      <c r="M462" s="39">
        <f t="shared" si="269"/>
        <v>-1459</v>
      </c>
      <c r="N462" s="128"/>
      <c r="O462" s="128"/>
      <c r="P462" s="40">
        <f t="shared" si="270"/>
        <v>-1459</v>
      </c>
      <c r="Q462" s="122"/>
      <c r="R462" s="123"/>
      <c r="S462" s="39">
        <f t="shared" si="271"/>
        <v>-1459</v>
      </c>
      <c r="T462" s="141"/>
      <c r="U462" s="141"/>
      <c r="V462" s="46">
        <f t="shared" si="272"/>
        <v>-1459</v>
      </c>
      <c r="W462" s="143"/>
    </row>
    <row r="463" spans="1:23" ht="15.75" customHeight="1">
      <c r="A463" s="87"/>
      <c r="B463" s="77">
        <f ca="1">IFERROR(__xludf.DUMMYFUNCTION("DATE(VALUE(LEFT($B$2,4)),VALUE(MID($B$2,6,2)),VALUE(RIGHT($B$2,2)))
+ (VALUE(REGEXEXTRACT(INDIRECT(""A""&amp;ROW()+1),""\d+""))-1)*7
+ INT((COLUMN()-COLUMN($B463))/3)
"),47020)</f>
        <v>47020</v>
      </c>
      <c r="C463" s="81"/>
      <c r="D463" s="82"/>
      <c r="E463" s="77">
        <f ca="1">IFERROR(__xludf.DUMMYFUNCTION("DATE(VALUE(LEFT($B$2,4)),VALUE(MID($B$2,6,2)),VALUE(RIGHT($B$2,2)))
+ (VALUE(REGEXEXTRACT(INDIRECT(""A""&amp;ROW()+1),""\d+""))-1)*7
+ INT((COLUMN()-COLUMN($B463))/3)
"),47021)</f>
        <v>47021</v>
      </c>
      <c r="F463" s="81"/>
      <c r="G463" s="82"/>
      <c r="H463" s="77">
        <f ca="1">IFERROR(__xludf.DUMMYFUNCTION("DATE(VALUE(LEFT($B$2,4)),VALUE(MID($B$2,6,2)),VALUE(RIGHT($B$2,2)))
+ (VALUE(REGEXEXTRACT(INDIRECT(""A""&amp;ROW()+1),""\d+""))-1)*7
+ INT((COLUMN()-COLUMN($B463))/3)
"),47022)</f>
        <v>47022</v>
      </c>
      <c r="I463" s="81"/>
      <c r="J463" s="82"/>
      <c r="K463" s="77">
        <f ca="1">IFERROR(__xludf.DUMMYFUNCTION("DATE(VALUE(LEFT($B$2,4)),VALUE(MID($B$2,6,2)),VALUE(RIGHT($B$2,2)))
+ (VALUE(REGEXEXTRACT(INDIRECT(""A""&amp;ROW()+1),""\d+""))-1)*7
+ INT((COLUMN()-COLUMN($B463))/3)
"),47023)</f>
        <v>47023</v>
      </c>
      <c r="L463" s="81"/>
      <c r="M463" s="82"/>
      <c r="N463" s="77">
        <f ca="1">IFERROR(__xludf.DUMMYFUNCTION("DATE(VALUE(LEFT($B$2,4)),VALUE(MID($B$2,6,2)),VALUE(RIGHT($B$2,2)))
+ (VALUE(REGEXEXTRACT(INDIRECT(""A""&amp;ROW()+1),""\d+""))-1)*7
+ INT((COLUMN()-COLUMN($B463))/3)
"),47024)</f>
        <v>47024</v>
      </c>
      <c r="O463" s="81"/>
      <c r="P463" s="82"/>
      <c r="Q463" s="77">
        <f ca="1">IFERROR(__xludf.DUMMYFUNCTION("DATE(VALUE(LEFT($B$2,4)),VALUE(MID($B$2,6,2)),VALUE(RIGHT($B$2,2)))
+ (VALUE(REGEXEXTRACT(INDIRECT(""A""&amp;ROW()+1),""\d+""))-1)*7
+ INT((COLUMN()-COLUMN($B463))/3)
"),47025)</f>
        <v>47025</v>
      </c>
      <c r="R463" s="81"/>
      <c r="S463" s="82"/>
      <c r="T463" s="77">
        <f ca="1">IFERROR(__xludf.DUMMYFUNCTION("DATE(VALUE(LEFT($B$2,4)),VALUE(MID($B$2,6,2)),VALUE(RIGHT($B$2,2)))
+ (VALUE(REGEXEXTRACT(INDIRECT(""A""&amp;ROW()+1),""\d+""))-1)*7
+ INT((COLUMN()-COLUMN($B463))/3)
"),47026)</f>
        <v>47026</v>
      </c>
      <c r="U463" s="81"/>
      <c r="V463" s="82"/>
      <c r="W463" s="143"/>
    </row>
    <row r="464" spans="1:23" ht="15.75" customHeight="1">
      <c r="A464" s="51" t="s">
        <v>168</v>
      </c>
      <c r="B464" s="112"/>
      <c r="C464" s="111"/>
      <c r="D464" s="17">
        <f>V462+C464</f>
        <v>-1459</v>
      </c>
      <c r="E464" s="109"/>
      <c r="F464" s="109"/>
      <c r="G464" s="54">
        <f>D474+F464</f>
        <v>-1459</v>
      </c>
      <c r="H464" s="110"/>
      <c r="I464" s="111"/>
      <c r="J464" s="17">
        <f>G474+I464</f>
        <v>-1459</v>
      </c>
      <c r="K464" s="109"/>
      <c r="L464" s="109"/>
      <c r="M464" s="54">
        <f>J474+L464</f>
        <v>-1459</v>
      </c>
      <c r="N464" s="112"/>
      <c r="O464" s="111"/>
      <c r="P464" s="17">
        <f>M474+O464</f>
        <v>-1459</v>
      </c>
      <c r="Q464" s="109"/>
      <c r="R464" s="109"/>
      <c r="S464" s="35">
        <f>P474+R464</f>
        <v>-1459</v>
      </c>
      <c r="T464" s="112"/>
      <c r="U464" s="111"/>
      <c r="V464" s="48">
        <f>S474+U464</f>
        <v>-1459</v>
      </c>
      <c r="W464" s="143"/>
    </row>
    <row r="465" spans="1:23" ht="15.75" customHeight="1">
      <c r="A465" s="114"/>
      <c r="B465" s="106"/>
      <c r="C465" s="107"/>
      <c r="D465" s="26">
        <f t="shared" ref="D465:D474" si="273">D464+C465</f>
        <v>-1459</v>
      </c>
      <c r="E465" s="117"/>
      <c r="F465" s="117"/>
      <c r="G465" s="19">
        <f t="shared" ref="G465:G474" si="274">G464+F465</f>
        <v>-1459</v>
      </c>
      <c r="H465" s="116"/>
      <c r="I465" s="107"/>
      <c r="J465" s="26">
        <f t="shared" ref="J465:J474" si="275">J464+I465</f>
        <v>-1459</v>
      </c>
      <c r="K465" s="117"/>
      <c r="L465" s="117"/>
      <c r="M465" s="19">
        <f t="shared" ref="M465:M474" si="276">M464+L465</f>
        <v>-1459</v>
      </c>
      <c r="N465" s="106"/>
      <c r="O465" s="107"/>
      <c r="P465" s="26">
        <f t="shared" ref="P465:P474" si="277">P464+O465</f>
        <v>-1459</v>
      </c>
      <c r="Q465" s="117"/>
      <c r="R465" s="117"/>
      <c r="S465" s="38">
        <f t="shared" ref="S465:S474" si="278">S464+R465</f>
        <v>-1459</v>
      </c>
      <c r="T465" s="106"/>
      <c r="U465" s="107"/>
      <c r="V465" s="20">
        <f t="shared" ref="V465:V474" si="279">V464+U465</f>
        <v>-1459</v>
      </c>
      <c r="W465" s="143"/>
    </row>
    <row r="466" spans="1:23" ht="15.75" customHeight="1">
      <c r="A466" s="114"/>
      <c r="B466" s="106"/>
      <c r="C466" s="107"/>
      <c r="D466" s="26">
        <f t="shared" si="273"/>
        <v>-1459</v>
      </c>
      <c r="E466" s="117"/>
      <c r="F466" s="117"/>
      <c r="G466" s="19">
        <f t="shared" si="274"/>
        <v>-1459</v>
      </c>
      <c r="H466" s="116"/>
      <c r="I466" s="107"/>
      <c r="J466" s="26">
        <f t="shared" si="275"/>
        <v>-1459</v>
      </c>
      <c r="K466" s="117"/>
      <c r="L466" s="117"/>
      <c r="M466" s="19">
        <f t="shared" si="276"/>
        <v>-1459</v>
      </c>
      <c r="N466" s="106"/>
      <c r="O466" s="107"/>
      <c r="P466" s="26">
        <f t="shared" si="277"/>
        <v>-1459</v>
      </c>
      <c r="Q466" s="117"/>
      <c r="R466" s="117"/>
      <c r="S466" s="38">
        <f t="shared" si="278"/>
        <v>-1459</v>
      </c>
      <c r="T466" s="106"/>
      <c r="U466" s="116"/>
      <c r="V466" s="20">
        <f t="shared" si="279"/>
        <v>-1459</v>
      </c>
      <c r="W466" s="143"/>
    </row>
    <row r="467" spans="1:23" ht="15.75" customHeight="1">
      <c r="A467" s="114"/>
      <c r="B467" s="106"/>
      <c r="C467" s="107"/>
      <c r="D467" s="26">
        <f t="shared" si="273"/>
        <v>-1459</v>
      </c>
      <c r="E467" s="117"/>
      <c r="F467" s="117"/>
      <c r="G467" s="19">
        <f t="shared" si="274"/>
        <v>-1459</v>
      </c>
      <c r="H467" s="116"/>
      <c r="I467" s="107"/>
      <c r="J467" s="26">
        <f t="shared" si="275"/>
        <v>-1459</v>
      </c>
      <c r="K467" s="117"/>
      <c r="L467" s="117"/>
      <c r="M467" s="19">
        <f t="shared" si="276"/>
        <v>-1459</v>
      </c>
      <c r="N467" s="106"/>
      <c r="O467" s="107"/>
      <c r="P467" s="26">
        <f t="shared" si="277"/>
        <v>-1459</v>
      </c>
      <c r="Q467" s="117"/>
      <c r="R467" s="117"/>
      <c r="S467" s="38">
        <f t="shared" si="278"/>
        <v>-1459</v>
      </c>
      <c r="T467" s="106"/>
      <c r="U467" s="116"/>
      <c r="V467" s="20">
        <f t="shared" si="279"/>
        <v>-1459</v>
      </c>
      <c r="W467" s="143"/>
    </row>
    <row r="468" spans="1:23" ht="15.75" customHeight="1">
      <c r="A468" s="114"/>
      <c r="B468" s="106"/>
      <c r="C468" s="107"/>
      <c r="D468" s="26">
        <f t="shared" si="273"/>
        <v>-1459</v>
      </c>
      <c r="E468" s="117"/>
      <c r="F468" s="117"/>
      <c r="G468" s="19">
        <f t="shared" si="274"/>
        <v>-1459</v>
      </c>
      <c r="H468" s="116"/>
      <c r="I468" s="107"/>
      <c r="J468" s="26">
        <f t="shared" si="275"/>
        <v>-1459</v>
      </c>
      <c r="K468" s="117"/>
      <c r="L468" s="117"/>
      <c r="M468" s="19">
        <f t="shared" si="276"/>
        <v>-1459</v>
      </c>
      <c r="N468" s="116"/>
      <c r="O468" s="107"/>
      <c r="P468" s="26">
        <f t="shared" si="277"/>
        <v>-1459</v>
      </c>
      <c r="Q468" s="117"/>
      <c r="R468" s="117"/>
      <c r="S468" s="38">
        <f t="shared" si="278"/>
        <v>-1459</v>
      </c>
      <c r="T468" s="106"/>
      <c r="U468" s="116"/>
      <c r="V468" s="20">
        <f t="shared" si="279"/>
        <v>-1459</v>
      </c>
      <c r="W468" s="143"/>
    </row>
    <row r="469" spans="1:23" ht="15.75" customHeight="1">
      <c r="A469" s="114"/>
      <c r="B469" s="106"/>
      <c r="C469" s="107"/>
      <c r="D469" s="26">
        <f t="shared" si="273"/>
        <v>-1459</v>
      </c>
      <c r="E469" s="117"/>
      <c r="F469" s="117"/>
      <c r="G469" s="19">
        <f t="shared" si="274"/>
        <v>-1459</v>
      </c>
      <c r="H469" s="116"/>
      <c r="I469" s="107"/>
      <c r="J469" s="26">
        <f t="shared" si="275"/>
        <v>-1459</v>
      </c>
      <c r="K469" s="117"/>
      <c r="L469" s="117"/>
      <c r="M469" s="19">
        <f t="shared" si="276"/>
        <v>-1459</v>
      </c>
      <c r="N469" s="116"/>
      <c r="O469" s="107"/>
      <c r="P469" s="26">
        <f t="shared" si="277"/>
        <v>-1459</v>
      </c>
      <c r="Q469" s="117"/>
      <c r="R469" s="117"/>
      <c r="S469" s="38">
        <f t="shared" si="278"/>
        <v>-1459</v>
      </c>
      <c r="T469" s="106"/>
      <c r="U469" s="116"/>
      <c r="V469" s="20">
        <f t="shared" si="279"/>
        <v>-1459</v>
      </c>
      <c r="W469" s="143"/>
    </row>
    <row r="470" spans="1:23" ht="15.75" customHeight="1">
      <c r="A470" s="114"/>
      <c r="B470" s="122"/>
      <c r="C470" s="123"/>
      <c r="D470" s="26">
        <f t="shared" si="273"/>
        <v>-1459</v>
      </c>
      <c r="E470" s="117"/>
      <c r="F470" s="117"/>
      <c r="G470" s="19">
        <f t="shared" si="274"/>
        <v>-1459</v>
      </c>
      <c r="H470" s="116"/>
      <c r="I470" s="107"/>
      <c r="J470" s="26">
        <f t="shared" si="275"/>
        <v>-1459</v>
      </c>
      <c r="K470" s="117"/>
      <c r="L470" s="117"/>
      <c r="M470" s="38">
        <f t="shared" si="276"/>
        <v>-1459</v>
      </c>
      <c r="N470" s="106"/>
      <c r="O470" s="107"/>
      <c r="P470" s="26">
        <f t="shared" si="277"/>
        <v>-1459</v>
      </c>
      <c r="Q470" s="117"/>
      <c r="R470" s="117"/>
      <c r="S470" s="38">
        <f t="shared" si="278"/>
        <v>-1459</v>
      </c>
      <c r="T470" s="106"/>
      <c r="U470" s="116"/>
      <c r="V470" s="20">
        <f t="shared" si="279"/>
        <v>-1459</v>
      </c>
      <c r="W470" s="143"/>
    </row>
    <row r="471" spans="1:23" ht="15.75" customHeight="1">
      <c r="A471" s="114"/>
      <c r="B471" s="122"/>
      <c r="C471" s="123"/>
      <c r="D471" s="26">
        <f t="shared" si="273"/>
        <v>-1459</v>
      </c>
      <c r="E471" s="117"/>
      <c r="F471" s="117"/>
      <c r="G471" s="19">
        <f t="shared" si="274"/>
        <v>-1459</v>
      </c>
      <c r="H471" s="116"/>
      <c r="I471" s="107"/>
      <c r="J471" s="26">
        <f t="shared" si="275"/>
        <v>-1459</v>
      </c>
      <c r="K471" s="117"/>
      <c r="L471" s="117"/>
      <c r="M471" s="38">
        <f t="shared" si="276"/>
        <v>-1459</v>
      </c>
      <c r="N471" s="106"/>
      <c r="O471" s="107"/>
      <c r="P471" s="26">
        <f t="shared" si="277"/>
        <v>-1459</v>
      </c>
      <c r="Q471" s="117"/>
      <c r="R471" s="117"/>
      <c r="S471" s="38">
        <f t="shared" si="278"/>
        <v>-1459</v>
      </c>
      <c r="T471" s="106"/>
      <c r="U471" s="116"/>
      <c r="V471" s="20">
        <f t="shared" si="279"/>
        <v>-1459</v>
      </c>
      <c r="W471" s="143"/>
    </row>
    <row r="472" spans="1:23" ht="15.75" customHeight="1">
      <c r="A472" s="114"/>
      <c r="B472" s="122"/>
      <c r="C472" s="123"/>
      <c r="D472" s="26">
        <f t="shared" si="273"/>
        <v>-1459</v>
      </c>
      <c r="E472" s="117"/>
      <c r="F472" s="117"/>
      <c r="G472" s="19">
        <f t="shared" si="274"/>
        <v>-1459</v>
      </c>
      <c r="H472" s="124"/>
      <c r="I472" s="123"/>
      <c r="J472" s="26">
        <f t="shared" si="275"/>
        <v>-1459</v>
      </c>
      <c r="K472" s="117"/>
      <c r="L472" s="117"/>
      <c r="M472" s="38">
        <f t="shared" si="276"/>
        <v>-1459</v>
      </c>
      <c r="N472" s="122"/>
      <c r="O472" s="123"/>
      <c r="P472" s="26">
        <f t="shared" si="277"/>
        <v>-1459</v>
      </c>
      <c r="Q472" s="117"/>
      <c r="R472" s="117"/>
      <c r="S472" s="38">
        <f t="shared" si="278"/>
        <v>-1459</v>
      </c>
      <c r="T472" s="106"/>
      <c r="U472" s="116"/>
      <c r="V472" s="20">
        <f t="shared" si="279"/>
        <v>-1459</v>
      </c>
      <c r="W472" s="143"/>
    </row>
    <row r="473" spans="1:23" ht="15.75" customHeight="1">
      <c r="A473" s="114"/>
      <c r="B473" s="122"/>
      <c r="C473" s="123"/>
      <c r="D473" s="26">
        <f t="shared" si="273"/>
        <v>-1459</v>
      </c>
      <c r="E473" s="117"/>
      <c r="F473" s="117"/>
      <c r="G473" s="19">
        <f t="shared" si="274"/>
        <v>-1459</v>
      </c>
      <c r="H473" s="124"/>
      <c r="I473" s="123"/>
      <c r="J473" s="26">
        <f t="shared" si="275"/>
        <v>-1459</v>
      </c>
      <c r="K473" s="117"/>
      <c r="L473" s="117"/>
      <c r="M473" s="38">
        <f t="shared" si="276"/>
        <v>-1459</v>
      </c>
      <c r="N473" s="122"/>
      <c r="O473" s="123"/>
      <c r="P473" s="26">
        <f t="shared" si="277"/>
        <v>-1459</v>
      </c>
      <c r="Q473" s="117"/>
      <c r="R473" s="117"/>
      <c r="S473" s="38">
        <f t="shared" si="278"/>
        <v>-1459</v>
      </c>
      <c r="T473" s="122"/>
      <c r="U473" s="124"/>
      <c r="V473" s="20">
        <f t="shared" si="279"/>
        <v>-1459</v>
      </c>
      <c r="W473" s="143"/>
    </row>
    <row r="474" spans="1:23" ht="15.75" customHeight="1">
      <c r="A474" s="114"/>
      <c r="B474" s="122"/>
      <c r="C474" s="123"/>
      <c r="D474" s="39">
        <f t="shared" si="273"/>
        <v>-1459</v>
      </c>
      <c r="E474" s="128"/>
      <c r="F474" s="128"/>
      <c r="G474" s="55">
        <f t="shared" si="274"/>
        <v>-1459</v>
      </c>
      <c r="H474" s="124"/>
      <c r="I474" s="123"/>
      <c r="J474" s="39">
        <f t="shared" si="275"/>
        <v>-1459</v>
      </c>
      <c r="K474" s="128"/>
      <c r="L474" s="128"/>
      <c r="M474" s="40">
        <f t="shared" si="276"/>
        <v>-1459</v>
      </c>
      <c r="N474" s="122"/>
      <c r="O474" s="123"/>
      <c r="P474" s="39">
        <f t="shared" si="277"/>
        <v>-1459</v>
      </c>
      <c r="Q474" s="128"/>
      <c r="R474" s="128"/>
      <c r="S474" s="40">
        <f t="shared" si="278"/>
        <v>-1459</v>
      </c>
      <c r="T474" s="122"/>
      <c r="U474" s="123"/>
      <c r="V474" s="49">
        <f t="shared" si="279"/>
        <v>-1459</v>
      </c>
      <c r="W474" s="143"/>
    </row>
    <row r="475" spans="1:23" ht="15.75" customHeight="1">
      <c r="A475" s="87"/>
      <c r="B475" s="77">
        <f ca="1">IFERROR(__xludf.DUMMYFUNCTION("DATE(VALUE(LEFT($B$2,4)),VALUE(MID($B$2,6,2)),VALUE(RIGHT($B$2,2)))
+ (VALUE(REGEXEXTRACT(INDIRECT(""A""&amp;ROW()+1),""\d+""))-1)*7
+ INT((COLUMN()-COLUMN($B475))/3)
"),47027)</f>
        <v>47027</v>
      </c>
      <c r="C475" s="81"/>
      <c r="D475" s="82"/>
      <c r="E475" s="77">
        <f ca="1">IFERROR(__xludf.DUMMYFUNCTION("DATE(VALUE(LEFT($B$2,4)),VALUE(MID($B$2,6,2)),VALUE(RIGHT($B$2,2)))
+ (VALUE(REGEXEXTRACT(INDIRECT(""A""&amp;ROW()+1),""\d+""))-1)*7
+ INT((COLUMN()-COLUMN($B475))/3)
"),47028)</f>
        <v>47028</v>
      </c>
      <c r="F475" s="81"/>
      <c r="G475" s="82"/>
      <c r="H475" s="77">
        <f ca="1">IFERROR(__xludf.DUMMYFUNCTION("DATE(VALUE(LEFT($B$2,4)),VALUE(MID($B$2,6,2)),VALUE(RIGHT($B$2,2)))
+ (VALUE(REGEXEXTRACT(INDIRECT(""A""&amp;ROW()+1),""\d+""))-1)*7
+ INT((COLUMN()-COLUMN($B475))/3)
"),47029)</f>
        <v>47029</v>
      </c>
      <c r="I475" s="81"/>
      <c r="J475" s="82"/>
      <c r="K475" s="77">
        <f ca="1">IFERROR(__xludf.DUMMYFUNCTION("DATE(VALUE(LEFT($B$2,4)),VALUE(MID($B$2,6,2)),VALUE(RIGHT($B$2,2)))
+ (VALUE(REGEXEXTRACT(INDIRECT(""A""&amp;ROW()+1),""\d+""))-1)*7
+ INT((COLUMN()-COLUMN($B475))/3)
"),47030)</f>
        <v>47030</v>
      </c>
      <c r="L475" s="81"/>
      <c r="M475" s="82"/>
      <c r="N475" s="77">
        <f ca="1">IFERROR(__xludf.DUMMYFUNCTION("DATE(VALUE(LEFT($B$2,4)),VALUE(MID($B$2,6,2)),VALUE(RIGHT($B$2,2)))
+ (VALUE(REGEXEXTRACT(INDIRECT(""A""&amp;ROW()+1),""\d+""))-1)*7
+ INT((COLUMN()-COLUMN($B475))/3)
"),47031)</f>
        <v>47031</v>
      </c>
      <c r="O475" s="81"/>
      <c r="P475" s="82"/>
      <c r="Q475" s="77">
        <f ca="1">IFERROR(__xludf.DUMMYFUNCTION("DATE(VALUE(LEFT($B$2,4)),VALUE(MID($B$2,6,2)),VALUE(RIGHT($B$2,2)))
+ (VALUE(REGEXEXTRACT(INDIRECT(""A""&amp;ROW()+1),""\d+""))-1)*7
+ INT((COLUMN()-COLUMN($B475))/3)
"),47032)</f>
        <v>47032</v>
      </c>
      <c r="R475" s="81"/>
      <c r="S475" s="82"/>
      <c r="T475" s="77">
        <f ca="1">IFERROR(__xludf.DUMMYFUNCTION("DATE(VALUE(LEFT($B$2,4)),VALUE(MID($B$2,6,2)),VALUE(RIGHT($B$2,2)))
+ (VALUE(REGEXEXTRACT(INDIRECT(""A""&amp;ROW()+1),""\d+""))-1)*7
+ INT((COLUMN()-COLUMN($B475))/3)
"),47033)</f>
        <v>47033</v>
      </c>
      <c r="U475" s="81"/>
      <c r="V475" s="82"/>
      <c r="W475" s="52" t="s">
        <v>20</v>
      </c>
    </row>
    <row r="476" spans="1:23" ht="15.75" customHeight="1">
      <c r="A476" s="47" t="s">
        <v>169</v>
      </c>
      <c r="B476" s="113"/>
      <c r="C476" s="109"/>
      <c r="D476" s="42">
        <f>V474+C476</f>
        <v>-1459</v>
      </c>
      <c r="E476" s="112"/>
      <c r="F476" s="111"/>
      <c r="G476" s="36">
        <f>D486+F476</f>
        <v>-1459</v>
      </c>
      <c r="H476" s="132"/>
      <c r="I476" s="109"/>
      <c r="J476" s="42">
        <f>G486+I476</f>
        <v>-1459</v>
      </c>
      <c r="K476" s="112"/>
      <c r="L476" s="111"/>
      <c r="M476" s="18">
        <f>J486+L476</f>
        <v>-1459</v>
      </c>
      <c r="N476" s="113"/>
      <c r="O476" s="109"/>
      <c r="P476" s="35">
        <f>M486+O476</f>
        <v>-1459</v>
      </c>
      <c r="Q476" s="112"/>
      <c r="R476" s="111"/>
      <c r="S476" s="18">
        <f>P486+R476</f>
        <v>-1459</v>
      </c>
      <c r="T476" s="173"/>
      <c r="U476" s="173"/>
      <c r="V476" s="50">
        <f>S486+U476</f>
        <v>-1459</v>
      </c>
      <c r="W476" s="172"/>
    </row>
    <row r="477" spans="1:23" ht="15.75" customHeight="1">
      <c r="A477" s="114"/>
      <c r="B477" s="118"/>
      <c r="C477" s="117"/>
      <c r="D477" s="19">
        <f t="shared" ref="D477:D486" si="280">D476+C477</f>
        <v>-1459</v>
      </c>
      <c r="E477" s="106"/>
      <c r="F477" s="107"/>
      <c r="G477" s="26">
        <f t="shared" ref="G477:G486" si="281">G476+F477</f>
        <v>-1459</v>
      </c>
      <c r="H477" s="133"/>
      <c r="I477" s="117"/>
      <c r="J477" s="19">
        <f t="shared" ref="J477:J486" si="282">J476+I477</f>
        <v>-1459</v>
      </c>
      <c r="K477" s="106"/>
      <c r="L477" s="107"/>
      <c r="M477" s="26">
        <f t="shared" ref="M477:M486" si="283">M476+L477</f>
        <v>-1459</v>
      </c>
      <c r="N477" s="118"/>
      <c r="O477" s="117"/>
      <c r="P477" s="38">
        <f t="shared" ref="P477:P486" si="284">P476+O477</f>
        <v>-1459</v>
      </c>
      <c r="Q477" s="106"/>
      <c r="R477" s="107"/>
      <c r="S477" s="26">
        <f t="shared" ref="S477:S486" si="285">S476+R477</f>
        <v>-1459</v>
      </c>
      <c r="T477" s="136"/>
      <c r="U477" s="136"/>
      <c r="V477" s="45">
        <f t="shared" ref="V477:V486" si="286">V476+U477</f>
        <v>-1459</v>
      </c>
      <c r="W477" s="143"/>
    </row>
    <row r="478" spans="1:23" ht="15.75" customHeight="1">
      <c r="A478" s="114"/>
      <c r="B478" s="118"/>
      <c r="C478" s="117"/>
      <c r="D478" s="19">
        <f t="shared" si="280"/>
        <v>-1459</v>
      </c>
      <c r="E478" s="106"/>
      <c r="F478" s="107"/>
      <c r="G478" s="26">
        <f t="shared" si="281"/>
        <v>-1459</v>
      </c>
      <c r="H478" s="133"/>
      <c r="I478" s="117"/>
      <c r="J478" s="19">
        <f t="shared" si="282"/>
        <v>-1459</v>
      </c>
      <c r="K478" s="106"/>
      <c r="L478" s="107"/>
      <c r="M478" s="26">
        <f t="shared" si="283"/>
        <v>-1459</v>
      </c>
      <c r="N478" s="117"/>
      <c r="O478" s="117"/>
      <c r="P478" s="38">
        <f t="shared" si="284"/>
        <v>-1459</v>
      </c>
      <c r="Q478" s="106"/>
      <c r="R478" s="107"/>
      <c r="S478" s="26">
        <f t="shared" si="285"/>
        <v>-1459</v>
      </c>
      <c r="T478" s="136"/>
      <c r="U478" s="136"/>
      <c r="V478" s="45">
        <f t="shared" si="286"/>
        <v>-1459</v>
      </c>
      <c r="W478" s="143"/>
    </row>
    <row r="479" spans="1:23" ht="15.75" customHeight="1">
      <c r="A479" s="114"/>
      <c r="B479" s="118"/>
      <c r="C479" s="117"/>
      <c r="D479" s="19">
        <f t="shared" si="280"/>
        <v>-1459</v>
      </c>
      <c r="E479" s="106"/>
      <c r="F479" s="107"/>
      <c r="G479" s="26">
        <f t="shared" si="281"/>
        <v>-1459</v>
      </c>
      <c r="H479" s="133"/>
      <c r="I479" s="117"/>
      <c r="J479" s="19">
        <f t="shared" si="282"/>
        <v>-1459</v>
      </c>
      <c r="K479" s="106"/>
      <c r="L479" s="107"/>
      <c r="M479" s="26">
        <f t="shared" si="283"/>
        <v>-1459</v>
      </c>
      <c r="N479" s="117"/>
      <c r="O479" s="117"/>
      <c r="P479" s="38">
        <f t="shared" si="284"/>
        <v>-1459</v>
      </c>
      <c r="Q479" s="106"/>
      <c r="R479" s="107"/>
      <c r="S479" s="26">
        <f t="shared" si="285"/>
        <v>-1459</v>
      </c>
      <c r="T479" s="136"/>
      <c r="U479" s="136"/>
      <c r="V479" s="45">
        <f t="shared" si="286"/>
        <v>-1459</v>
      </c>
      <c r="W479" s="143"/>
    </row>
    <row r="480" spans="1:23" ht="15.75" customHeight="1">
      <c r="A480" s="114"/>
      <c r="B480" s="118"/>
      <c r="C480" s="117"/>
      <c r="D480" s="19">
        <f t="shared" si="280"/>
        <v>-1459</v>
      </c>
      <c r="E480" s="106"/>
      <c r="F480" s="107"/>
      <c r="G480" s="26">
        <f t="shared" si="281"/>
        <v>-1459</v>
      </c>
      <c r="H480" s="133"/>
      <c r="I480" s="117"/>
      <c r="J480" s="19">
        <f t="shared" si="282"/>
        <v>-1459</v>
      </c>
      <c r="K480" s="106"/>
      <c r="L480" s="107"/>
      <c r="M480" s="26">
        <f t="shared" si="283"/>
        <v>-1459</v>
      </c>
      <c r="N480" s="117"/>
      <c r="O480" s="117"/>
      <c r="P480" s="38">
        <f t="shared" si="284"/>
        <v>-1459</v>
      </c>
      <c r="Q480" s="106"/>
      <c r="R480" s="107"/>
      <c r="S480" s="26">
        <f t="shared" si="285"/>
        <v>-1459</v>
      </c>
      <c r="T480" s="136"/>
      <c r="U480" s="136"/>
      <c r="V480" s="45">
        <f t="shared" si="286"/>
        <v>-1459</v>
      </c>
      <c r="W480" s="143"/>
    </row>
    <row r="481" spans="1:23" ht="15.75" customHeight="1">
      <c r="A481" s="114"/>
      <c r="B481" s="118"/>
      <c r="C481" s="117"/>
      <c r="D481" s="19">
        <f t="shared" si="280"/>
        <v>-1459</v>
      </c>
      <c r="E481" s="106"/>
      <c r="F481" s="107"/>
      <c r="G481" s="26">
        <f t="shared" si="281"/>
        <v>-1459</v>
      </c>
      <c r="H481" s="133"/>
      <c r="I481" s="117"/>
      <c r="J481" s="19">
        <f t="shared" si="282"/>
        <v>-1459</v>
      </c>
      <c r="K481" s="106"/>
      <c r="L481" s="107"/>
      <c r="M481" s="26">
        <f t="shared" si="283"/>
        <v>-1459</v>
      </c>
      <c r="N481" s="117"/>
      <c r="O481" s="117"/>
      <c r="P481" s="38">
        <f t="shared" si="284"/>
        <v>-1459</v>
      </c>
      <c r="Q481" s="106"/>
      <c r="R481" s="107"/>
      <c r="S481" s="26">
        <f t="shared" si="285"/>
        <v>-1459</v>
      </c>
      <c r="T481" s="136"/>
      <c r="U481" s="136"/>
      <c r="V481" s="45">
        <f t="shared" si="286"/>
        <v>-1459</v>
      </c>
      <c r="W481" s="143"/>
    </row>
    <row r="482" spans="1:23" ht="15.75" customHeight="1">
      <c r="A482" s="114"/>
      <c r="B482" s="117"/>
      <c r="C482" s="117"/>
      <c r="D482" s="19">
        <f t="shared" si="280"/>
        <v>-1459</v>
      </c>
      <c r="E482" s="106"/>
      <c r="F482" s="107"/>
      <c r="G482" s="26">
        <f t="shared" si="281"/>
        <v>-1459</v>
      </c>
      <c r="H482" s="133"/>
      <c r="I482" s="117"/>
      <c r="J482" s="19">
        <f t="shared" si="282"/>
        <v>-1459</v>
      </c>
      <c r="K482" s="106"/>
      <c r="L482" s="107"/>
      <c r="M482" s="26">
        <f t="shared" si="283"/>
        <v>-1459</v>
      </c>
      <c r="N482" s="117"/>
      <c r="O482" s="117"/>
      <c r="P482" s="38">
        <f t="shared" si="284"/>
        <v>-1459</v>
      </c>
      <c r="Q482" s="106"/>
      <c r="R482" s="107"/>
      <c r="S482" s="26">
        <f t="shared" si="285"/>
        <v>-1459</v>
      </c>
      <c r="T482" s="136"/>
      <c r="U482" s="136"/>
      <c r="V482" s="45">
        <f t="shared" si="286"/>
        <v>-1459</v>
      </c>
      <c r="W482" s="143"/>
    </row>
    <row r="483" spans="1:23" ht="15.75" customHeight="1">
      <c r="A483" s="114"/>
      <c r="B483" s="117"/>
      <c r="C483" s="117"/>
      <c r="D483" s="19">
        <f t="shared" si="280"/>
        <v>-1459</v>
      </c>
      <c r="E483" s="106"/>
      <c r="F483" s="107"/>
      <c r="G483" s="26">
        <f t="shared" si="281"/>
        <v>-1459</v>
      </c>
      <c r="H483" s="133"/>
      <c r="I483" s="117"/>
      <c r="J483" s="19">
        <f t="shared" si="282"/>
        <v>-1459</v>
      </c>
      <c r="K483" s="106"/>
      <c r="L483" s="107"/>
      <c r="M483" s="26">
        <f t="shared" si="283"/>
        <v>-1459</v>
      </c>
      <c r="N483" s="117"/>
      <c r="O483" s="117"/>
      <c r="P483" s="38">
        <f t="shared" si="284"/>
        <v>-1459</v>
      </c>
      <c r="Q483" s="106"/>
      <c r="R483" s="107"/>
      <c r="S483" s="26">
        <f t="shared" si="285"/>
        <v>-1459</v>
      </c>
      <c r="T483" s="136"/>
      <c r="U483" s="136"/>
      <c r="V483" s="45">
        <f t="shared" si="286"/>
        <v>-1459</v>
      </c>
      <c r="W483" s="143"/>
    </row>
    <row r="484" spans="1:23" ht="15.75" customHeight="1">
      <c r="A484" s="114"/>
      <c r="B484" s="117"/>
      <c r="C484" s="117"/>
      <c r="D484" s="19">
        <f t="shared" si="280"/>
        <v>-1459</v>
      </c>
      <c r="E484" s="106"/>
      <c r="F484" s="107"/>
      <c r="G484" s="26">
        <f t="shared" si="281"/>
        <v>-1459</v>
      </c>
      <c r="H484" s="133"/>
      <c r="I484" s="117"/>
      <c r="J484" s="19">
        <f t="shared" si="282"/>
        <v>-1459</v>
      </c>
      <c r="K484" s="106"/>
      <c r="L484" s="107"/>
      <c r="M484" s="26">
        <f t="shared" si="283"/>
        <v>-1459</v>
      </c>
      <c r="N484" s="117"/>
      <c r="O484" s="117"/>
      <c r="P484" s="38">
        <f t="shared" si="284"/>
        <v>-1459</v>
      </c>
      <c r="Q484" s="106"/>
      <c r="R484" s="107"/>
      <c r="S484" s="26">
        <f t="shared" si="285"/>
        <v>-1459</v>
      </c>
      <c r="T484" s="136"/>
      <c r="U484" s="136"/>
      <c r="V484" s="45">
        <f t="shared" si="286"/>
        <v>-1459</v>
      </c>
      <c r="W484" s="143"/>
    </row>
    <row r="485" spans="1:23" ht="15.75" customHeight="1">
      <c r="A485" s="114"/>
      <c r="B485" s="117"/>
      <c r="C485" s="117"/>
      <c r="D485" s="19">
        <f t="shared" si="280"/>
        <v>-1459</v>
      </c>
      <c r="E485" s="122"/>
      <c r="F485" s="123"/>
      <c r="G485" s="26">
        <f t="shared" si="281"/>
        <v>-1459</v>
      </c>
      <c r="H485" s="133"/>
      <c r="I485" s="117"/>
      <c r="J485" s="19">
        <f t="shared" si="282"/>
        <v>-1459</v>
      </c>
      <c r="K485" s="122"/>
      <c r="L485" s="123"/>
      <c r="M485" s="26">
        <f t="shared" si="283"/>
        <v>-1459</v>
      </c>
      <c r="N485" s="117"/>
      <c r="O485" s="117"/>
      <c r="P485" s="38">
        <f t="shared" si="284"/>
        <v>-1459</v>
      </c>
      <c r="Q485" s="122"/>
      <c r="R485" s="123"/>
      <c r="S485" s="26">
        <f t="shared" si="285"/>
        <v>-1459</v>
      </c>
      <c r="T485" s="136"/>
      <c r="U485" s="136"/>
      <c r="V485" s="45">
        <f t="shared" si="286"/>
        <v>-1459</v>
      </c>
      <c r="W485" s="143"/>
    </row>
    <row r="486" spans="1:23" ht="15.75" customHeight="1">
      <c r="A486" s="114"/>
      <c r="B486" s="128"/>
      <c r="C486" s="128"/>
      <c r="D486" s="29">
        <f t="shared" si="280"/>
        <v>-1459</v>
      </c>
      <c r="E486" s="122"/>
      <c r="F486" s="123"/>
      <c r="G486" s="53">
        <f t="shared" si="281"/>
        <v>-1459</v>
      </c>
      <c r="H486" s="140"/>
      <c r="I486" s="128"/>
      <c r="J486" s="29">
        <f t="shared" si="282"/>
        <v>-1459</v>
      </c>
      <c r="K486" s="122"/>
      <c r="L486" s="123"/>
      <c r="M486" s="39">
        <f t="shared" si="283"/>
        <v>-1459</v>
      </c>
      <c r="N486" s="128"/>
      <c r="O486" s="128"/>
      <c r="P486" s="40">
        <f t="shared" si="284"/>
        <v>-1459</v>
      </c>
      <c r="Q486" s="122"/>
      <c r="R486" s="123"/>
      <c r="S486" s="39">
        <f t="shared" si="285"/>
        <v>-1459</v>
      </c>
      <c r="T486" s="141"/>
      <c r="U486" s="141"/>
      <c r="V486" s="46">
        <f t="shared" si="286"/>
        <v>-1459</v>
      </c>
      <c r="W486" s="143"/>
    </row>
    <row r="487" spans="1:23" ht="15.75" customHeight="1">
      <c r="A487" s="87"/>
      <c r="B487" s="77">
        <f ca="1">IFERROR(__xludf.DUMMYFUNCTION("DATE(VALUE(LEFT($B$2,4)),VALUE(MID($B$2,6,2)),VALUE(RIGHT($B$2,2)))
+ (VALUE(REGEXEXTRACT(INDIRECT(""A""&amp;ROW()+1),""\d+""))-1)*7
+ INT((COLUMN()-COLUMN($B487))/3)
"),47034)</f>
        <v>47034</v>
      </c>
      <c r="C487" s="81"/>
      <c r="D487" s="82"/>
      <c r="E487" s="77">
        <f ca="1">IFERROR(__xludf.DUMMYFUNCTION("DATE(VALUE(LEFT($B$2,4)),VALUE(MID($B$2,6,2)),VALUE(RIGHT($B$2,2)))
+ (VALUE(REGEXEXTRACT(INDIRECT(""A""&amp;ROW()+1),""\d+""))-1)*7
+ INT((COLUMN()-COLUMN($B487))/3)
"),47035)</f>
        <v>47035</v>
      </c>
      <c r="F487" s="81"/>
      <c r="G487" s="82"/>
      <c r="H487" s="77">
        <f ca="1">IFERROR(__xludf.DUMMYFUNCTION("DATE(VALUE(LEFT($B$2,4)),VALUE(MID($B$2,6,2)),VALUE(RIGHT($B$2,2)))
+ (VALUE(REGEXEXTRACT(INDIRECT(""A""&amp;ROW()+1),""\d+""))-1)*7
+ INT((COLUMN()-COLUMN($B487))/3)
"),47036)</f>
        <v>47036</v>
      </c>
      <c r="I487" s="81"/>
      <c r="J487" s="82"/>
      <c r="K487" s="77">
        <f ca="1">IFERROR(__xludf.DUMMYFUNCTION("DATE(VALUE(LEFT($B$2,4)),VALUE(MID($B$2,6,2)),VALUE(RIGHT($B$2,2)))
+ (VALUE(REGEXEXTRACT(INDIRECT(""A""&amp;ROW()+1),""\d+""))-1)*7
+ INT((COLUMN()-COLUMN($B487))/3)
"),47037)</f>
        <v>47037</v>
      </c>
      <c r="L487" s="81"/>
      <c r="M487" s="82"/>
      <c r="N487" s="77">
        <f ca="1">IFERROR(__xludf.DUMMYFUNCTION("DATE(VALUE(LEFT($B$2,4)),VALUE(MID($B$2,6,2)),VALUE(RIGHT($B$2,2)))
+ (VALUE(REGEXEXTRACT(INDIRECT(""A""&amp;ROW()+1),""\d+""))-1)*7
+ INT((COLUMN()-COLUMN($B487))/3)
"),47038)</f>
        <v>47038</v>
      </c>
      <c r="O487" s="81"/>
      <c r="P487" s="82"/>
      <c r="Q487" s="77">
        <f ca="1">IFERROR(__xludf.DUMMYFUNCTION("DATE(VALUE(LEFT($B$2,4)),VALUE(MID($B$2,6,2)),VALUE(RIGHT($B$2,2)))
+ (VALUE(REGEXEXTRACT(INDIRECT(""A""&amp;ROW()+1),""\d+""))-1)*7
+ INT((COLUMN()-COLUMN($B487))/3)
"),47039)</f>
        <v>47039</v>
      </c>
      <c r="R487" s="81"/>
      <c r="S487" s="82"/>
      <c r="T487" s="77">
        <f ca="1">IFERROR(__xludf.DUMMYFUNCTION("DATE(VALUE(LEFT($B$2,4)),VALUE(MID($B$2,6,2)),VALUE(RIGHT($B$2,2)))
+ (VALUE(REGEXEXTRACT(INDIRECT(""A""&amp;ROW()+1),""\d+""))-1)*7
+ INT((COLUMN()-COLUMN($B487))/3)
"),47040)</f>
        <v>47040</v>
      </c>
      <c r="U487" s="81"/>
      <c r="V487" s="82"/>
      <c r="W487" s="143"/>
    </row>
    <row r="488" spans="1:23" ht="15.75" customHeight="1">
      <c r="A488" s="51" t="s">
        <v>170</v>
      </c>
      <c r="B488" s="112"/>
      <c r="C488" s="111"/>
      <c r="D488" s="17">
        <f>V486+C488</f>
        <v>-1459</v>
      </c>
      <c r="E488" s="109"/>
      <c r="F488" s="109"/>
      <c r="G488" s="42">
        <f>D498+F488</f>
        <v>-1459</v>
      </c>
      <c r="H488" s="112"/>
      <c r="I488" s="111"/>
      <c r="J488" s="17">
        <f>G498+I488</f>
        <v>-1459</v>
      </c>
      <c r="K488" s="109"/>
      <c r="L488" s="109"/>
      <c r="M488" s="35">
        <f>J498+L488</f>
        <v>-1459</v>
      </c>
      <c r="N488" s="112"/>
      <c r="O488" s="111"/>
      <c r="P488" s="17">
        <f>M498+O488</f>
        <v>-1459</v>
      </c>
      <c r="Q488" s="109"/>
      <c r="R488" s="109"/>
      <c r="S488" s="35">
        <f>P498+R488</f>
        <v>-1459</v>
      </c>
      <c r="T488" s="112"/>
      <c r="U488" s="111"/>
      <c r="V488" s="48">
        <f>S498+U488</f>
        <v>-1459</v>
      </c>
      <c r="W488" s="143"/>
    </row>
    <row r="489" spans="1:23" ht="15.75" customHeight="1">
      <c r="A489" s="114"/>
      <c r="B489" s="106"/>
      <c r="C489" s="107"/>
      <c r="D489" s="26">
        <f t="shared" ref="D489:D498" si="287">D488+C489</f>
        <v>-1459</v>
      </c>
      <c r="E489" s="117"/>
      <c r="F489" s="117"/>
      <c r="G489" s="19">
        <f t="shared" ref="G489:G498" si="288">G488+F489</f>
        <v>-1459</v>
      </c>
      <c r="H489" s="106"/>
      <c r="I489" s="107"/>
      <c r="J489" s="26">
        <f t="shared" ref="J489:J498" si="289">J488+I489</f>
        <v>-1459</v>
      </c>
      <c r="K489" s="117"/>
      <c r="L489" s="117"/>
      <c r="M489" s="38">
        <f t="shared" ref="M489:M498" si="290">M488+L489</f>
        <v>-1459</v>
      </c>
      <c r="N489" s="106"/>
      <c r="O489" s="107"/>
      <c r="P489" s="26">
        <f t="shared" ref="P489:P498" si="291">P488+O489</f>
        <v>-1459</v>
      </c>
      <c r="Q489" s="117"/>
      <c r="R489" s="117"/>
      <c r="S489" s="38">
        <f t="shared" ref="S489:S498" si="292">S488+R489</f>
        <v>-1459</v>
      </c>
      <c r="T489" s="106"/>
      <c r="U489" s="107"/>
      <c r="V489" s="20">
        <f t="shared" ref="V489:V498" si="293">V488+U489</f>
        <v>-1459</v>
      </c>
      <c r="W489" s="143"/>
    </row>
    <row r="490" spans="1:23" ht="15.75" customHeight="1">
      <c r="A490" s="114"/>
      <c r="B490" s="106"/>
      <c r="C490" s="107"/>
      <c r="D490" s="26">
        <f t="shared" si="287"/>
        <v>-1459</v>
      </c>
      <c r="E490" s="117"/>
      <c r="F490" s="117"/>
      <c r="G490" s="19">
        <f t="shared" si="288"/>
        <v>-1459</v>
      </c>
      <c r="H490" s="106"/>
      <c r="I490" s="107"/>
      <c r="J490" s="26">
        <f t="shared" si="289"/>
        <v>-1459</v>
      </c>
      <c r="K490" s="117"/>
      <c r="L490" s="117"/>
      <c r="M490" s="38">
        <f t="shared" si="290"/>
        <v>-1459</v>
      </c>
      <c r="N490" s="106"/>
      <c r="O490" s="107"/>
      <c r="P490" s="26">
        <f t="shared" si="291"/>
        <v>-1459</v>
      </c>
      <c r="Q490" s="117"/>
      <c r="R490" s="117"/>
      <c r="S490" s="38">
        <f t="shared" si="292"/>
        <v>-1459</v>
      </c>
      <c r="T490" s="106"/>
      <c r="U490" s="116"/>
      <c r="V490" s="20">
        <f t="shared" si="293"/>
        <v>-1459</v>
      </c>
      <c r="W490" s="143"/>
    </row>
    <row r="491" spans="1:23" ht="15.75" customHeight="1">
      <c r="A491" s="114"/>
      <c r="B491" s="106"/>
      <c r="C491" s="107"/>
      <c r="D491" s="26">
        <f t="shared" si="287"/>
        <v>-1459</v>
      </c>
      <c r="E491" s="117"/>
      <c r="F491" s="117"/>
      <c r="G491" s="19">
        <f t="shared" si="288"/>
        <v>-1459</v>
      </c>
      <c r="H491" s="106"/>
      <c r="I491" s="107"/>
      <c r="J491" s="26">
        <f t="shared" si="289"/>
        <v>-1459</v>
      </c>
      <c r="K491" s="117"/>
      <c r="L491" s="117"/>
      <c r="M491" s="38">
        <f t="shared" si="290"/>
        <v>-1459</v>
      </c>
      <c r="N491" s="106"/>
      <c r="O491" s="107"/>
      <c r="P491" s="26">
        <f t="shared" si="291"/>
        <v>-1459</v>
      </c>
      <c r="Q491" s="117"/>
      <c r="R491" s="117"/>
      <c r="S491" s="38">
        <f t="shared" si="292"/>
        <v>-1459</v>
      </c>
      <c r="T491" s="106"/>
      <c r="U491" s="116"/>
      <c r="V491" s="20">
        <f t="shared" si="293"/>
        <v>-1459</v>
      </c>
      <c r="W491" s="143"/>
    </row>
    <row r="492" spans="1:23" ht="15.75" customHeight="1">
      <c r="A492" s="114"/>
      <c r="B492" s="106"/>
      <c r="C492" s="107"/>
      <c r="D492" s="26">
        <f t="shared" si="287"/>
        <v>-1459</v>
      </c>
      <c r="E492" s="117"/>
      <c r="F492" s="117"/>
      <c r="G492" s="19">
        <f t="shared" si="288"/>
        <v>-1459</v>
      </c>
      <c r="H492" s="106"/>
      <c r="I492" s="107"/>
      <c r="J492" s="26">
        <f t="shared" si="289"/>
        <v>-1459</v>
      </c>
      <c r="K492" s="117"/>
      <c r="L492" s="117"/>
      <c r="M492" s="38">
        <f t="shared" si="290"/>
        <v>-1459</v>
      </c>
      <c r="N492" s="106"/>
      <c r="O492" s="107"/>
      <c r="P492" s="26">
        <f t="shared" si="291"/>
        <v>-1459</v>
      </c>
      <c r="Q492" s="117"/>
      <c r="R492" s="117"/>
      <c r="S492" s="38">
        <f t="shared" si="292"/>
        <v>-1459</v>
      </c>
      <c r="T492" s="106"/>
      <c r="U492" s="116"/>
      <c r="V492" s="20">
        <f t="shared" si="293"/>
        <v>-1459</v>
      </c>
      <c r="W492" s="143"/>
    </row>
    <row r="493" spans="1:23" ht="15.75" customHeight="1">
      <c r="A493" s="114"/>
      <c r="B493" s="106"/>
      <c r="C493" s="107"/>
      <c r="D493" s="26">
        <f t="shared" si="287"/>
        <v>-1459</v>
      </c>
      <c r="E493" s="117"/>
      <c r="F493" s="117"/>
      <c r="G493" s="19">
        <f t="shared" si="288"/>
        <v>-1459</v>
      </c>
      <c r="H493" s="106"/>
      <c r="I493" s="107"/>
      <c r="J493" s="26">
        <f t="shared" si="289"/>
        <v>-1459</v>
      </c>
      <c r="K493" s="117"/>
      <c r="L493" s="117"/>
      <c r="M493" s="38">
        <f t="shared" si="290"/>
        <v>-1459</v>
      </c>
      <c r="N493" s="106"/>
      <c r="O493" s="107"/>
      <c r="P493" s="26">
        <f t="shared" si="291"/>
        <v>-1459</v>
      </c>
      <c r="Q493" s="117"/>
      <c r="R493" s="117"/>
      <c r="S493" s="38">
        <f t="shared" si="292"/>
        <v>-1459</v>
      </c>
      <c r="T493" s="106"/>
      <c r="U493" s="116"/>
      <c r="V493" s="20">
        <f t="shared" si="293"/>
        <v>-1459</v>
      </c>
      <c r="W493" s="143"/>
    </row>
    <row r="494" spans="1:23" ht="15.75" customHeight="1">
      <c r="A494" s="114"/>
      <c r="B494" s="106"/>
      <c r="C494" s="107"/>
      <c r="D494" s="26">
        <f t="shared" si="287"/>
        <v>-1459</v>
      </c>
      <c r="E494" s="117"/>
      <c r="F494" s="117"/>
      <c r="G494" s="19">
        <f t="shared" si="288"/>
        <v>-1459</v>
      </c>
      <c r="H494" s="106"/>
      <c r="I494" s="107"/>
      <c r="J494" s="26">
        <f t="shared" si="289"/>
        <v>-1459</v>
      </c>
      <c r="K494" s="117"/>
      <c r="L494" s="117"/>
      <c r="M494" s="38">
        <f t="shared" si="290"/>
        <v>-1459</v>
      </c>
      <c r="N494" s="106"/>
      <c r="O494" s="107"/>
      <c r="P494" s="26">
        <f t="shared" si="291"/>
        <v>-1459</v>
      </c>
      <c r="Q494" s="117"/>
      <c r="R494" s="117"/>
      <c r="S494" s="38">
        <f t="shared" si="292"/>
        <v>-1459</v>
      </c>
      <c r="T494" s="106"/>
      <c r="U494" s="116"/>
      <c r="V494" s="20">
        <f t="shared" si="293"/>
        <v>-1459</v>
      </c>
      <c r="W494" s="143"/>
    </row>
    <row r="495" spans="1:23" ht="15.75" customHeight="1">
      <c r="A495" s="114"/>
      <c r="B495" s="106"/>
      <c r="C495" s="107"/>
      <c r="D495" s="26">
        <f t="shared" si="287"/>
        <v>-1459</v>
      </c>
      <c r="E495" s="117"/>
      <c r="F495" s="117"/>
      <c r="G495" s="19">
        <f t="shared" si="288"/>
        <v>-1459</v>
      </c>
      <c r="H495" s="106"/>
      <c r="I495" s="107"/>
      <c r="J495" s="26">
        <f t="shared" si="289"/>
        <v>-1459</v>
      </c>
      <c r="K495" s="117"/>
      <c r="L495" s="117"/>
      <c r="M495" s="38">
        <f t="shared" si="290"/>
        <v>-1459</v>
      </c>
      <c r="N495" s="106"/>
      <c r="O495" s="107"/>
      <c r="P495" s="26">
        <f t="shared" si="291"/>
        <v>-1459</v>
      </c>
      <c r="Q495" s="117"/>
      <c r="R495" s="117"/>
      <c r="S495" s="38">
        <f t="shared" si="292"/>
        <v>-1459</v>
      </c>
      <c r="T495" s="106"/>
      <c r="U495" s="116"/>
      <c r="V495" s="20">
        <f t="shared" si="293"/>
        <v>-1459</v>
      </c>
      <c r="W495" s="143"/>
    </row>
    <row r="496" spans="1:23" ht="15.75" customHeight="1">
      <c r="A496" s="114"/>
      <c r="B496" s="106"/>
      <c r="C496" s="107"/>
      <c r="D496" s="26">
        <f t="shared" si="287"/>
        <v>-1459</v>
      </c>
      <c r="E496" s="117"/>
      <c r="F496" s="117"/>
      <c r="G496" s="19">
        <f t="shared" si="288"/>
        <v>-1459</v>
      </c>
      <c r="H496" s="122"/>
      <c r="I496" s="123"/>
      <c r="J496" s="26">
        <f t="shared" si="289"/>
        <v>-1459</v>
      </c>
      <c r="K496" s="117"/>
      <c r="L496" s="117"/>
      <c r="M496" s="38">
        <f t="shared" si="290"/>
        <v>-1459</v>
      </c>
      <c r="N496" s="122"/>
      <c r="O496" s="123"/>
      <c r="P496" s="26">
        <f t="shared" si="291"/>
        <v>-1459</v>
      </c>
      <c r="Q496" s="117"/>
      <c r="R496" s="117"/>
      <c r="S496" s="38">
        <f t="shared" si="292"/>
        <v>-1459</v>
      </c>
      <c r="T496" s="106"/>
      <c r="U496" s="116"/>
      <c r="V496" s="20">
        <f t="shared" si="293"/>
        <v>-1459</v>
      </c>
      <c r="W496" s="143"/>
    </row>
    <row r="497" spans="1:23" ht="15.75" customHeight="1">
      <c r="A497" s="114"/>
      <c r="B497" s="106"/>
      <c r="C497" s="107"/>
      <c r="D497" s="26">
        <f t="shared" si="287"/>
        <v>-1459</v>
      </c>
      <c r="E497" s="117"/>
      <c r="F497" s="117"/>
      <c r="G497" s="19">
        <f t="shared" si="288"/>
        <v>-1459</v>
      </c>
      <c r="H497" s="122"/>
      <c r="I497" s="123"/>
      <c r="J497" s="26">
        <f t="shared" si="289"/>
        <v>-1459</v>
      </c>
      <c r="K497" s="117"/>
      <c r="L497" s="117"/>
      <c r="M497" s="38">
        <f t="shared" si="290"/>
        <v>-1459</v>
      </c>
      <c r="N497" s="122"/>
      <c r="O497" s="123"/>
      <c r="P497" s="26">
        <f t="shared" si="291"/>
        <v>-1459</v>
      </c>
      <c r="Q497" s="117"/>
      <c r="R497" s="117"/>
      <c r="S497" s="38">
        <f t="shared" si="292"/>
        <v>-1459</v>
      </c>
      <c r="T497" s="122"/>
      <c r="U497" s="124"/>
      <c r="V497" s="20">
        <f t="shared" si="293"/>
        <v>-1459</v>
      </c>
      <c r="W497" s="143"/>
    </row>
    <row r="498" spans="1:23" ht="15.75" customHeight="1">
      <c r="A498" s="114"/>
      <c r="B498" s="122"/>
      <c r="C498" s="123"/>
      <c r="D498" s="39">
        <f t="shared" si="287"/>
        <v>-1459</v>
      </c>
      <c r="E498" s="128"/>
      <c r="F498" s="128"/>
      <c r="G498" s="29">
        <f t="shared" si="288"/>
        <v>-1459</v>
      </c>
      <c r="H498" s="122"/>
      <c r="I498" s="123"/>
      <c r="J498" s="39">
        <f t="shared" si="289"/>
        <v>-1459</v>
      </c>
      <c r="K498" s="128"/>
      <c r="L498" s="128"/>
      <c r="M498" s="40">
        <f t="shared" si="290"/>
        <v>-1459</v>
      </c>
      <c r="N498" s="122"/>
      <c r="O498" s="123"/>
      <c r="P498" s="39">
        <f t="shared" si="291"/>
        <v>-1459</v>
      </c>
      <c r="Q498" s="128"/>
      <c r="R498" s="128"/>
      <c r="S498" s="40">
        <f t="shared" si="292"/>
        <v>-1459</v>
      </c>
      <c r="T498" s="122"/>
      <c r="U498" s="123"/>
      <c r="V498" s="49">
        <f t="shared" si="293"/>
        <v>-1459</v>
      </c>
      <c r="W498" s="143"/>
    </row>
    <row r="499" spans="1:23" ht="15.75" customHeight="1">
      <c r="A499" s="87"/>
      <c r="B499" s="77">
        <f ca="1">IFERROR(__xludf.DUMMYFUNCTION("DATE(VALUE(LEFT($B$2,4)),VALUE(MID($B$2,6,2)),VALUE(RIGHT($B$2,2)))
+ (VALUE(REGEXEXTRACT(INDIRECT(""A""&amp;ROW()+1),""\d+""))-1)*7
+ INT((COLUMN()-COLUMN($B499))/3)
"),47041)</f>
        <v>47041</v>
      </c>
      <c r="C499" s="81"/>
      <c r="D499" s="82"/>
      <c r="E499" s="77">
        <f ca="1">IFERROR(__xludf.DUMMYFUNCTION("DATE(VALUE(LEFT($B$2,4)),VALUE(MID($B$2,6,2)),VALUE(RIGHT($B$2,2)))
+ (VALUE(REGEXEXTRACT(INDIRECT(""A""&amp;ROW()+1),""\d+""))-1)*7
+ INT((COLUMN()-COLUMN($B499))/3)
"),47042)</f>
        <v>47042</v>
      </c>
      <c r="F499" s="81"/>
      <c r="G499" s="82"/>
      <c r="H499" s="77">
        <f ca="1">IFERROR(__xludf.DUMMYFUNCTION("DATE(VALUE(LEFT($B$2,4)),VALUE(MID($B$2,6,2)),VALUE(RIGHT($B$2,2)))
+ (VALUE(REGEXEXTRACT(INDIRECT(""A""&amp;ROW()+1),""\d+""))-1)*7
+ INT((COLUMN()-COLUMN($B499))/3)
"),47043)</f>
        <v>47043</v>
      </c>
      <c r="I499" s="81"/>
      <c r="J499" s="82"/>
      <c r="K499" s="77">
        <f ca="1">IFERROR(__xludf.DUMMYFUNCTION("DATE(VALUE(LEFT($B$2,4)),VALUE(MID($B$2,6,2)),VALUE(RIGHT($B$2,2)))
+ (VALUE(REGEXEXTRACT(INDIRECT(""A""&amp;ROW()+1),""\d+""))-1)*7
+ INT((COLUMN()-COLUMN($B499))/3)
"),47044)</f>
        <v>47044</v>
      </c>
      <c r="L499" s="81"/>
      <c r="M499" s="82"/>
      <c r="N499" s="77">
        <f ca="1">IFERROR(__xludf.DUMMYFUNCTION("DATE(VALUE(LEFT($B$2,4)),VALUE(MID($B$2,6,2)),VALUE(RIGHT($B$2,2)))
+ (VALUE(REGEXEXTRACT(INDIRECT(""A""&amp;ROW()+1),""\d+""))-1)*7
+ INT((COLUMN()-COLUMN($B499))/3)
"),47045)</f>
        <v>47045</v>
      </c>
      <c r="O499" s="81"/>
      <c r="P499" s="82"/>
      <c r="Q499" s="77">
        <f ca="1">IFERROR(__xludf.DUMMYFUNCTION("DATE(VALUE(LEFT($B$2,4)),VALUE(MID($B$2,6,2)),VALUE(RIGHT($B$2,2)))
+ (VALUE(REGEXEXTRACT(INDIRECT(""A""&amp;ROW()+1),""\d+""))-1)*7
+ INT((COLUMN()-COLUMN($B499))/3)
"),47046)</f>
        <v>47046</v>
      </c>
      <c r="R499" s="81"/>
      <c r="S499" s="82"/>
      <c r="T499" s="77">
        <f ca="1">IFERROR(__xludf.DUMMYFUNCTION("DATE(VALUE(LEFT($B$2,4)),VALUE(MID($B$2,6,2)),VALUE(RIGHT($B$2,2)))
+ (VALUE(REGEXEXTRACT(INDIRECT(""A""&amp;ROW()+1),""\d+""))-1)*7
+ INT((COLUMN()-COLUMN($B499))/3)
"),47047)</f>
        <v>47047</v>
      </c>
      <c r="U499" s="81"/>
      <c r="V499" s="82"/>
      <c r="W499" s="52" t="s">
        <v>20</v>
      </c>
    </row>
    <row r="500" spans="1:23" ht="15.75" customHeight="1">
      <c r="A500" s="47" t="s">
        <v>171</v>
      </c>
      <c r="B500" s="113"/>
      <c r="C500" s="109"/>
      <c r="D500" s="42">
        <f>V498+C500</f>
        <v>-1459</v>
      </c>
      <c r="E500" s="112"/>
      <c r="F500" s="111"/>
      <c r="G500" s="36">
        <f>D510+F500</f>
        <v>-1459</v>
      </c>
      <c r="H500" s="132"/>
      <c r="I500" s="109"/>
      <c r="J500" s="42">
        <f>G510+I500</f>
        <v>-1459</v>
      </c>
      <c r="K500" s="112"/>
      <c r="L500" s="111"/>
      <c r="M500" s="18">
        <f>J510+L500</f>
        <v>-1459</v>
      </c>
      <c r="N500" s="113"/>
      <c r="O500" s="109"/>
      <c r="P500" s="35">
        <f>M510+O500</f>
        <v>-1459</v>
      </c>
      <c r="Q500" s="112"/>
      <c r="R500" s="111"/>
      <c r="S500" s="18">
        <f>P510+R500</f>
        <v>-1459</v>
      </c>
      <c r="T500" s="173"/>
      <c r="U500" s="173"/>
      <c r="V500" s="50">
        <f>S510+U500</f>
        <v>-1459</v>
      </c>
      <c r="W500" s="172"/>
    </row>
    <row r="501" spans="1:23" ht="15.75" customHeight="1">
      <c r="A501" s="114"/>
      <c r="B501" s="118"/>
      <c r="C501" s="117"/>
      <c r="D501" s="19">
        <f t="shared" ref="D501:D510" si="294">D500+C501</f>
        <v>-1459</v>
      </c>
      <c r="E501" s="106"/>
      <c r="F501" s="107"/>
      <c r="G501" s="26">
        <f t="shared" ref="G501:G510" si="295">G500+F501</f>
        <v>-1459</v>
      </c>
      <c r="H501" s="133"/>
      <c r="I501" s="117"/>
      <c r="J501" s="19">
        <f t="shared" ref="J501:J510" si="296">J500+I501</f>
        <v>-1459</v>
      </c>
      <c r="K501" s="106"/>
      <c r="L501" s="107"/>
      <c r="M501" s="26">
        <f t="shared" ref="M501:M510" si="297">M500+L501</f>
        <v>-1459</v>
      </c>
      <c r="N501" s="118"/>
      <c r="O501" s="117"/>
      <c r="P501" s="38">
        <f t="shared" ref="P501:P510" si="298">P500+O501</f>
        <v>-1459</v>
      </c>
      <c r="Q501" s="106"/>
      <c r="R501" s="107"/>
      <c r="S501" s="26">
        <f t="shared" ref="S501:S510" si="299">S500+R501</f>
        <v>-1459</v>
      </c>
      <c r="T501" s="136"/>
      <c r="U501" s="136"/>
      <c r="V501" s="45">
        <f t="shared" ref="V501:V510" si="300">V500+U501</f>
        <v>-1459</v>
      </c>
      <c r="W501" s="143"/>
    </row>
    <row r="502" spans="1:23" ht="15.75" customHeight="1">
      <c r="A502" s="114"/>
      <c r="B502" s="118"/>
      <c r="C502" s="117"/>
      <c r="D502" s="19">
        <f t="shared" si="294"/>
        <v>-1459</v>
      </c>
      <c r="E502" s="106"/>
      <c r="F502" s="107"/>
      <c r="G502" s="26">
        <f t="shared" si="295"/>
        <v>-1459</v>
      </c>
      <c r="H502" s="133"/>
      <c r="I502" s="117"/>
      <c r="J502" s="19">
        <f t="shared" si="296"/>
        <v>-1459</v>
      </c>
      <c r="K502" s="106"/>
      <c r="L502" s="107"/>
      <c r="M502" s="26">
        <f t="shared" si="297"/>
        <v>-1459</v>
      </c>
      <c r="N502" s="117"/>
      <c r="O502" s="117"/>
      <c r="P502" s="38">
        <f t="shared" si="298"/>
        <v>-1459</v>
      </c>
      <c r="Q502" s="106"/>
      <c r="R502" s="107"/>
      <c r="S502" s="26">
        <f t="shared" si="299"/>
        <v>-1459</v>
      </c>
      <c r="T502" s="136"/>
      <c r="U502" s="136"/>
      <c r="V502" s="45">
        <f t="shared" si="300"/>
        <v>-1459</v>
      </c>
      <c r="W502" s="143"/>
    </row>
    <row r="503" spans="1:23" ht="15.75" customHeight="1">
      <c r="A503" s="114"/>
      <c r="B503" s="118"/>
      <c r="C503" s="117"/>
      <c r="D503" s="19">
        <f t="shared" si="294"/>
        <v>-1459</v>
      </c>
      <c r="E503" s="106"/>
      <c r="F503" s="107"/>
      <c r="G503" s="26">
        <f t="shared" si="295"/>
        <v>-1459</v>
      </c>
      <c r="H503" s="133"/>
      <c r="I503" s="117"/>
      <c r="J503" s="19">
        <f t="shared" si="296"/>
        <v>-1459</v>
      </c>
      <c r="K503" s="106"/>
      <c r="L503" s="107"/>
      <c r="M503" s="26">
        <f t="shared" si="297"/>
        <v>-1459</v>
      </c>
      <c r="N503" s="117"/>
      <c r="O503" s="117"/>
      <c r="P503" s="38">
        <f t="shared" si="298"/>
        <v>-1459</v>
      </c>
      <c r="Q503" s="106"/>
      <c r="R503" s="107"/>
      <c r="S503" s="26">
        <f t="shared" si="299"/>
        <v>-1459</v>
      </c>
      <c r="T503" s="136"/>
      <c r="U503" s="136"/>
      <c r="V503" s="45">
        <f t="shared" si="300"/>
        <v>-1459</v>
      </c>
      <c r="W503" s="143"/>
    </row>
    <row r="504" spans="1:23" ht="15.75" customHeight="1">
      <c r="A504" s="114"/>
      <c r="B504" s="118"/>
      <c r="C504" s="117"/>
      <c r="D504" s="19">
        <f t="shared" si="294"/>
        <v>-1459</v>
      </c>
      <c r="E504" s="106"/>
      <c r="F504" s="107"/>
      <c r="G504" s="26">
        <f t="shared" si="295"/>
        <v>-1459</v>
      </c>
      <c r="H504" s="133"/>
      <c r="I504" s="117"/>
      <c r="J504" s="19">
        <f t="shared" si="296"/>
        <v>-1459</v>
      </c>
      <c r="K504" s="106"/>
      <c r="L504" s="107"/>
      <c r="M504" s="26">
        <f t="shared" si="297"/>
        <v>-1459</v>
      </c>
      <c r="N504" s="117"/>
      <c r="O504" s="117"/>
      <c r="P504" s="38">
        <f t="shared" si="298"/>
        <v>-1459</v>
      </c>
      <c r="Q504" s="106"/>
      <c r="R504" s="107"/>
      <c r="S504" s="26">
        <f t="shared" si="299"/>
        <v>-1459</v>
      </c>
      <c r="T504" s="136"/>
      <c r="U504" s="136"/>
      <c r="V504" s="45">
        <f t="shared" si="300"/>
        <v>-1459</v>
      </c>
      <c r="W504" s="143"/>
    </row>
    <row r="505" spans="1:23" ht="15.75" customHeight="1">
      <c r="A505" s="114"/>
      <c r="B505" s="118"/>
      <c r="C505" s="117"/>
      <c r="D505" s="19">
        <f t="shared" si="294"/>
        <v>-1459</v>
      </c>
      <c r="E505" s="106"/>
      <c r="F505" s="107"/>
      <c r="G505" s="26">
        <f t="shared" si="295"/>
        <v>-1459</v>
      </c>
      <c r="H505" s="133"/>
      <c r="I505" s="117"/>
      <c r="J505" s="19">
        <f t="shared" si="296"/>
        <v>-1459</v>
      </c>
      <c r="K505" s="106"/>
      <c r="L505" s="107"/>
      <c r="M505" s="26">
        <f t="shared" si="297"/>
        <v>-1459</v>
      </c>
      <c r="N505" s="117"/>
      <c r="O505" s="117"/>
      <c r="P505" s="38">
        <f t="shared" si="298"/>
        <v>-1459</v>
      </c>
      <c r="Q505" s="106"/>
      <c r="R505" s="107"/>
      <c r="S505" s="26">
        <f t="shared" si="299"/>
        <v>-1459</v>
      </c>
      <c r="T505" s="136"/>
      <c r="U505" s="136"/>
      <c r="V505" s="45">
        <f t="shared" si="300"/>
        <v>-1459</v>
      </c>
      <c r="W505" s="143"/>
    </row>
    <row r="506" spans="1:23" ht="15.75" customHeight="1">
      <c r="A506" s="114"/>
      <c r="B506" s="117"/>
      <c r="C506" s="117"/>
      <c r="D506" s="19">
        <f t="shared" si="294"/>
        <v>-1459</v>
      </c>
      <c r="E506" s="106"/>
      <c r="F506" s="107"/>
      <c r="G506" s="26">
        <f t="shared" si="295"/>
        <v>-1459</v>
      </c>
      <c r="H506" s="133"/>
      <c r="I506" s="117"/>
      <c r="J506" s="19">
        <f t="shared" si="296"/>
        <v>-1459</v>
      </c>
      <c r="K506" s="106"/>
      <c r="L506" s="107"/>
      <c r="M506" s="26">
        <f t="shared" si="297"/>
        <v>-1459</v>
      </c>
      <c r="N506" s="117"/>
      <c r="O506" s="117"/>
      <c r="P506" s="38">
        <f t="shared" si="298"/>
        <v>-1459</v>
      </c>
      <c r="Q506" s="106"/>
      <c r="R506" s="107"/>
      <c r="S506" s="26">
        <f t="shared" si="299"/>
        <v>-1459</v>
      </c>
      <c r="T506" s="136"/>
      <c r="U506" s="136"/>
      <c r="V506" s="45">
        <f t="shared" si="300"/>
        <v>-1459</v>
      </c>
      <c r="W506" s="143"/>
    </row>
    <row r="507" spans="1:23" ht="15.75" customHeight="1">
      <c r="A507" s="114"/>
      <c r="B507" s="117"/>
      <c r="C507" s="117"/>
      <c r="D507" s="19">
        <f t="shared" si="294"/>
        <v>-1459</v>
      </c>
      <c r="E507" s="106"/>
      <c r="F507" s="107"/>
      <c r="G507" s="26">
        <f t="shared" si="295"/>
        <v>-1459</v>
      </c>
      <c r="H507" s="133"/>
      <c r="I507" s="117"/>
      <c r="J507" s="19">
        <f t="shared" si="296"/>
        <v>-1459</v>
      </c>
      <c r="K507" s="106"/>
      <c r="L507" s="107"/>
      <c r="M507" s="26">
        <f t="shared" si="297"/>
        <v>-1459</v>
      </c>
      <c r="N507" s="117"/>
      <c r="O507" s="117"/>
      <c r="P507" s="38">
        <f t="shared" si="298"/>
        <v>-1459</v>
      </c>
      <c r="Q507" s="106"/>
      <c r="R507" s="107"/>
      <c r="S507" s="26">
        <f t="shared" si="299"/>
        <v>-1459</v>
      </c>
      <c r="T507" s="136"/>
      <c r="U507" s="136"/>
      <c r="V507" s="45">
        <f t="shared" si="300"/>
        <v>-1459</v>
      </c>
      <c r="W507" s="143"/>
    </row>
    <row r="508" spans="1:23" ht="15.75" customHeight="1">
      <c r="A508" s="114"/>
      <c r="B508" s="117"/>
      <c r="C508" s="117"/>
      <c r="D508" s="19">
        <f t="shared" si="294"/>
        <v>-1459</v>
      </c>
      <c r="E508" s="106"/>
      <c r="F508" s="107"/>
      <c r="G508" s="26">
        <f t="shared" si="295"/>
        <v>-1459</v>
      </c>
      <c r="H508" s="133"/>
      <c r="I508" s="117"/>
      <c r="J508" s="19">
        <f t="shared" si="296"/>
        <v>-1459</v>
      </c>
      <c r="K508" s="106"/>
      <c r="L508" s="107"/>
      <c r="M508" s="26">
        <f t="shared" si="297"/>
        <v>-1459</v>
      </c>
      <c r="N508" s="117"/>
      <c r="O508" s="117"/>
      <c r="P508" s="38">
        <f t="shared" si="298"/>
        <v>-1459</v>
      </c>
      <c r="Q508" s="106"/>
      <c r="R508" s="107"/>
      <c r="S508" s="26">
        <f t="shared" si="299"/>
        <v>-1459</v>
      </c>
      <c r="T508" s="136"/>
      <c r="U508" s="136"/>
      <c r="V508" s="45">
        <f t="shared" si="300"/>
        <v>-1459</v>
      </c>
      <c r="W508" s="143"/>
    </row>
    <row r="509" spans="1:23" ht="15.75" customHeight="1">
      <c r="A509" s="114"/>
      <c r="B509" s="117"/>
      <c r="C509" s="117"/>
      <c r="D509" s="19">
        <f t="shared" si="294"/>
        <v>-1459</v>
      </c>
      <c r="E509" s="122"/>
      <c r="F509" s="123"/>
      <c r="G509" s="26">
        <f t="shared" si="295"/>
        <v>-1459</v>
      </c>
      <c r="H509" s="133"/>
      <c r="I509" s="117"/>
      <c r="J509" s="19">
        <f t="shared" si="296"/>
        <v>-1459</v>
      </c>
      <c r="K509" s="122"/>
      <c r="L509" s="123"/>
      <c r="M509" s="26">
        <f t="shared" si="297"/>
        <v>-1459</v>
      </c>
      <c r="N509" s="117"/>
      <c r="O509" s="117"/>
      <c r="P509" s="38">
        <f t="shared" si="298"/>
        <v>-1459</v>
      </c>
      <c r="Q509" s="122"/>
      <c r="R509" s="123"/>
      <c r="S509" s="26">
        <f t="shared" si="299"/>
        <v>-1459</v>
      </c>
      <c r="T509" s="136"/>
      <c r="U509" s="136"/>
      <c r="V509" s="45">
        <f t="shared" si="300"/>
        <v>-1459</v>
      </c>
      <c r="W509" s="143"/>
    </row>
    <row r="510" spans="1:23" ht="15.75" customHeight="1">
      <c r="A510" s="114"/>
      <c r="B510" s="128"/>
      <c r="C510" s="128"/>
      <c r="D510" s="29">
        <f t="shared" si="294"/>
        <v>-1459</v>
      </c>
      <c r="E510" s="122"/>
      <c r="F510" s="123"/>
      <c r="G510" s="53">
        <f t="shared" si="295"/>
        <v>-1459</v>
      </c>
      <c r="H510" s="140"/>
      <c r="I510" s="128"/>
      <c r="J510" s="29">
        <f t="shared" si="296"/>
        <v>-1459</v>
      </c>
      <c r="K510" s="122"/>
      <c r="L510" s="123"/>
      <c r="M510" s="39">
        <f t="shared" si="297"/>
        <v>-1459</v>
      </c>
      <c r="N510" s="128"/>
      <c r="O510" s="128"/>
      <c r="P510" s="40">
        <f t="shared" si="298"/>
        <v>-1459</v>
      </c>
      <c r="Q510" s="122"/>
      <c r="R510" s="123"/>
      <c r="S510" s="39">
        <f t="shared" si="299"/>
        <v>-1459</v>
      </c>
      <c r="T510" s="141"/>
      <c r="U510" s="141"/>
      <c r="V510" s="46">
        <f t="shared" si="300"/>
        <v>-1459</v>
      </c>
      <c r="W510" s="143"/>
    </row>
    <row r="511" spans="1:23" ht="15.75" customHeight="1">
      <c r="A511" s="87"/>
      <c r="B511" s="77">
        <f ca="1">IFERROR(__xludf.DUMMYFUNCTION("DATE(VALUE(LEFT($B$2,4)),VALUE(MID($B$2,6,2)),VALUE(RIGHT($B$2,2)))
+ (VALUE(REGEXEXTRACT(INDIRECT(""A""&amp;ROW()+1),""\d+""))-1)*7
+ INT((COLUMN()-COLUMN($B511))/3)
"),47048)</f>
        <v>47048</v>
      </c>
      <c r="C511" s="81"/>
      <c r="D511" s="82"/>
      <c r="E511" s="77">
        <f ca="1">IFERROR(__xludf.DUMMYFUNCTION("DATE(VALUE(LEFT($B$2,4)),VALUE(MID($B$2,6,2)),VALUE(RIGHT($B$2,2)))
+ (VALUE(REGEXEXTRACT(INDIRECT(""A""&amp;ROW()+1),""\d+""))-1)*7
+ INT((COLUMN()-COLUMN($B511))/3)
"),47049)</f>
        <v>47049</v>
      </c>
      <c r="F511" s="81"/>
      <c r="G511" s="82"/>
      <c r="H511" s="77">
        <f ca="1">IFERROR(__xludf.DUMMYFUNCTION("DATE(VALUE(LEFT($B$2,4)),VALUE(MID($B$2,6,2)),VALUE(RIGHT($B$2,2)))
+ (VALUE(REGEXEXTRACT(INDIRECT(""A""&amp;ROW()+1),""\d+""))-1)*7
+ INT((COLUMN()-COLUMN($B511))/3)
"),47050)</f>
        <v>47050</v>
      </c>
      <c r="I511" s="81"/>
      <c r="J511" s="82"/>
      <c r="K511" s="77">
        <f ca="1">IFERROR(__xludf.DUMMYFUNCTION("DATE(VALUE(LEFT($B$2,4)),VALUE(MID($B$2,6,2)),VALUE(RIGHT($B$2,2)))
+ (VALUE(REGEXEXTRACT(INDIRECT(""A""&amp;ROW()+1),""\d+""))-1)*7
+ INT((COLUMN()-COLUMN($B511))/3)
"),47051)</f>
        <v>47051</v>
      </c>
      <c r="L511" s="81"/>
      <c r="M511" s="82"/>
      <c r="N511" s="77">
        <f ca="1">IFERROR(__xludf.DUMMYFUNCTION("DATE(VALUE(LEFT($B$2,4)),VALUE(MID($B$2,6,2)),VALUE(RIGHT($B$2,2)))
+ (VALUE(REGEXEXTRACT(INDIRECT(""A""&amp;ROW()+1),""\d+""))-1)*7
+ INT((COLUMN()-COLUMN($B511))/3)
"),47052)</f>
        <v>47052</v>
      </c>
      <c r="O511" s="81"/>
      <c r="P511" s="82"/>
      <c r="Q511" s="77">
        <f ca="1">IFERROR(__xludf.DUMMYFUNCTION("DATE(VALUE(LEFT($B$2,4)),VALUE(MID($B$2,6,2)),VALUE(RIGHT($B$2,2)))
+ (VALUE(REGEXEXTRACT(INDIRECT(""A""&amp;ROW()+1),""\d+""))-1)*7
+ INT((COLUMN()-COLUMN($B511))/3)
"),47053)</f>
        <v>47053</v>
      </c>
      <c r="R511" s="81"/>
      <c r="S511" s="82"/>
      <c r="T511" s="77">
        <f ca="1">IFERROR(__xludf.DUMMYFUNCTION("DATE(VALUE(LEFT($B$2,4)),VALUE(MID($B$2,6,2)),VALUE(RIGHT($B$2,2)))
+ (VALUE(REGEXEXTRACT(INDIRECT(""A""&amp;ROW()+1),""\d+""))-1)*7
+ INT((COLUMN()-COLUMN($B511))/3)
"),47054)</f>
        <v>47054</v>
      </c>
      <c r="U511" s="81"/>
      <c r="V511" s="82"/>
      <c r="W511" s="143"/>
    </row>
    <row r="512" spans="1:23" ht="15.75" customHeight="1">
      <c r="A512" s="51" t="s">
        <v>172</v>
      </c>
      <c r="B512" s="112"/>
      <c r="C512" s="111"/>
      <c r="D512" s="17">
        <f>V510+C512</f>
        <v>-1459</v>
      </c>
      <c r="E512" s="109"/>
      <c r="F512" s="109"/>
      <c r="G512" s="54">
        <f>D522+F512</f>
        <v>-1459</v>
      </c>
      <c r="H512" s="110"/>
      <c r="I512" s="111"/>
      <c r="J512" s="17">
        <f>G522+I512</f>
        <v>-1459</v>
      </c>
      <c r="K512" s="109"/>
      <c r="L512" s="109"/>
      <c r="M512" s="35">
        <f>J522+L512</f>
        <v>-1459</v>
      </c>
      <c r="N512" s="112"/>
      <c r="O512" s="111"/>
      <c r="P512" s="17">
        <f>M522+O512</f>
        <v>-1459</v>
      </c>
      <c r="Q512" s="109"/>
      <c r="R512" s="109"/>
      <c r="S512" s="35">
        <f>P522+R512</f>
        <v>-1459</v>
      </c>
      <c r="T512" s="112"/>
      <c r="U512" s="111"/>
      <c r="V512" s="48">
        <f>S522+U512</f>
        <v>-1459</v>
      </c>
      <c r="W512" s="143"/>
    </row>
    <row r="513" spans="1:23" ht="15.75" customHeight="1">
      <c r="A513" s="114"/>
      <c r="B513" s="106"/>
      <c r="C513" s="107"/>
      <c r="D513" s="26">
        <f t="shared" ref="D513:D522" si="301">D512+C513</f>
        <v>-1459</v>
      </c>
      <c r="E513" s="117"/>
      <c r="F513" s="117"/>
      <c r="G513" s="19">
        <f t="shared" ref="G513:G522" si="302">G512+F513</f>
        <v>-1459</v>
      </c>
      <c r="H513" s="116"/>
      <c r="I513" s="107"/>
      <c r="J513" s="26">
        <f t="shared" ref="J513:J522" si="303">J512+I513</f>
        <v>-1459</v>
      </c>
      <c r="K513" s="117"/>
      <c r="L513" s="117"/>
      <c r="M513" s="38">
        <f t="shared" ref="M513:M522" si="304">M512+L513</f>
        <v>-1459</v>
      </c>
      <c r="N513" s="106"/>
      <c r="O513" s="107"/>
      <c r="P513" s="26">
        <f t="shared" ref="P513:P522" si="305">P512+O513</f>
        <v>-1459</v>
      </c>
      <c r="Q513" s="117"/>
      <c r="R513" s="117"/>
      <c r="S513" s="38">
        <f t="shared" ref="S513:S522" si="306">S512+R513</f>
        <v>-1459</v>
      </c>
      <c r="T513" s="106"/>
      <c r="U513" s="107"/>
      <c r="V513" s="20">
        <f t="shared" ref="V513:V522" si="307">V512+U513</f>
        <v>-1459</v>
      </c>
      <c r="W513" s="143"/>
    </row>
    <row r="514" spans="1:23" ht="15.75" customHeight="1">
      <c r="A514" s="114"/>
      <c r="B514" s="106"/>
      <c r="C514" s="107"/>
      <c r="D514" s="26">
        <f t="shared" si="301"/>
        <v>-1459</v>
      </c>
      <c r="E514" s="117"/>
      <c r="F514" s="117"/>
      <c r="G514" s="19">
        <f t="shared" si="302"/>
        <v>-1459</v>
      </c>
      <c r="H514" s="116"/>
      <c r="I514" s="107"/>
      <c r="J514" s="26">
        <f t="shared" si="303"/>
        <v>-1459</v>
      </c>
      <c r="K514" s="117"/>
      <c r="L514" s="117"/>
      <c r="M514" s="38">
        <f t="shared" si="304"/>
        <v>-1459</v>
      </c>
      <c r="N514" s="106"/>
      <c r="O514" s="107"/>
      <c r="P514" s="26">
        <f t="shared" si="305"/>
        <v>-1459</v>
      </c>
      <c r="Q514" s="117"/>
      <c r="R514" s="117"/>
      <c r="S514" s="38">
        <f t="shared" si="306"/>
        <v>-1459</v>
      </c>
      <c r="T514" s="106"/>
      <c r="U514" s="116"/>
      <c r="V514" s="20">
        <f t="shared" si="307"/>
        <v>-1459</v>
      </c>
      <c r="W514" s="143"/>
    </row>
    <row r="515" spans="1:23" ht="15.75" customHeight="1">
      <c r="A515" s="114"/>
      <c r="B515" s="106"/>
      <c r="C515" s="107"/>
      <c r="D515" s="26">
        <f t="shared" si="301"/>
        <v>-1459</v>
      </c>
      <c r="E515" s="117"/>
      <c r="F515" s="117"/>
      <c r="G515" s="19">
        <f t="shared" si="302"/>
        <v>-1459</v>
      </c>
      <c r="H515" s="116"/>
      <c r="I515" s="107"/>
      <c r="J515" s="26">
        <f t="shared" si="303"/>
        <v>-1459</v>
      </c>
      <c r="K515" s="117"/>
      <c r="L515" s="117"/>
      <c r="M515" s="38">
        <f t="shared" si="304"/>
        <v>-1459</v>
      </c>
      <c r="N515" s="106"/>
      <c r="O515" s="107"/>
      <c r="P515" s="26">
        <f t="shared" si="305"/>
        <v>-1459</v>
      </c>
      <c r="Q515" s="117"/>
      <c r="R515" s="117"/>
      <c r="S515" s="38">
        <f t="shared" si="306"/>
        <v>-1459</v>
      </c>
      <c r="T515" s="106"/>
      <c r="U515" s="116"/>
      <c r="V515" s="20">
        <f t="shared" si="307"/>
        <v>-1459</v>
      </c>
      <c r="W515" s="143"/>
    </row>
    <row r="516" spans="1:23" ht="15.75" customHeight="1">
      <c r="A516" s="114"/>
      <c r="B516" s="106"/>
      <c r="C516" s="107"/>
      <c r="D516" s="26">
        <f t="shared" si="301"/>
        <v>-1459</v>
      </c>
      <c r="E516" s="117"/>
      <c r="F516" s="117"/>
      <c r="G516" s="19">
        <f t="shared" si="302"/>
        <v>-1459</v>
      </c>
      <c r="H516" s="116"/>
      <c r="I516" s="107"/>
      <c r="J516" s="26">
        <f t="shared" si="303"/>
        <v>-1459</v>
      </c>
      <c r="K516" s="117"/>
      <c r="L516" s="117"/>
      <c r="M516" s="38">
        <f t="shared" si="304"/>
        <v>-1459</v>
      </c>
      <c r="N516" s="106"/>
      <c r="O516" s="107"/>
      <c r="P516" s="26">
        <f t="shared" si="305"/>
        <v>-1459</v>
      </c>
      <c r="Q516" s="117"/>
      <c r="R516" s="117"/>
      <c r="S516" s="38">
        <f t="shared" si="306"/>
        <v>-1459</v>
      </c>
      <c r="T516" s="106"/>
      <c r="U516" s="116"/>
      <c r="V516" s="20">
        <f t="shared" si="307"/>
        <v>-1459</v>
      </c>
      <c r="W516" s="143"/>
    </row>
    <row r="517" spans="1:23" ht="15.75" customHeight="1">
      <c r="A517" s="114"/>
      <c r="B517" s="106"/>
      <c r="C517" s="107"/>
      <c r="D517" s="26">
        <f t="shared" si="301"/>
        <v>-1459</v>
      </c>
      <c r="E517" s="117"/>
      <c r="F517" s="117"/>
      <c r="G517" s="19">
        <f t="shared" si="302"/>
        <v>-1459</v>
      </c>
      <c r="H517" s="116"/>
      <c r="I517" s="107"/>
      <c r="J517" s="26">
        <f t="shared" si="303"/>
        <v>-1459</v>
      </c>
      <c r="K517" s="117"/>
      <c r="L517" s="117"/>
      <c r="M517" s="38">
        <f t="shared" si="304"/>
        <v>-1459</v>
      </c>
      <c r="N517" s="106"/>
      <c r="O517" s="107"/>
      <c r="P517" s="26">
        <f t="shared" si="305"/>
        <v>-1459</v>
      </c>
      <c r="Q517" s="117"/>
      <c r="R517" s="117"/>
      <c r="S517" s="38">
        <f t="shared" si="306"/>
        <v>-1459</v>
      </c>
      <c r="T517" s="106"/>
      <c r="U517" s="116"/>
      <c r="V517" s="20">
        <f t="shared" si="307"/>
        <v>-1459</v>
      </c>
      <c r="W517" s="143"/>
    </row>
    <row r="518" spans="1:23" ht="15.75" customHeight="1">
      <c r="A518" s="114"/>
      <c r="B518" s="106"/>
      <c r="C518" s="107"/>
      <c r="D518" s="26">
        <f t="shared" si="301"/>
        <v>-1459</v>
      </c>
      <c r="E518" s="117"/>
      <c r="F518" s="117"/>
      <c r="G518" s="19">
        <f t="shared" si="302"/>
        <v>-1459</v>
      </c>
      <c r="H518" s="116"/>
      <c r="I518" s="107"/>
      <c r="J518" s="26">
        <f t="shared" si="303"/>
        <v>-1459</v>
      </c>
      <c r="K518" s="117"/>
      <c r="L518" s="117"/>
      <c r="M518" s="38">
        <f t="shared" si="304"/>
        <v>-1459</v>
      </c>
      <c r="N518" s="106"/>
      <c r="O518" s="107"/>
      <c r="P518" s="26">
        <f t="shared" si="305"/>
        <v>-1459</v>
      </c>
      <c r="Q518" s="117"/>
      <c r="R518" s="117"/>
      <c r="S518" s="38">
        <f t="shared" si="306"/>
        <v>-1459</v>
      </c>
      <c r="T518" s="106"/>
      <c r="U518" s="116"/>
      <c r="V518" s="20">
        <f t="shared" si="307"/>
        <v>-1459</v>
      </c>
      <c r="W518" s="143"/>
    </row>
    <row r="519" spans="1:23" ht="15.75" customHeight="1">
      <c r="A519" s="114"/>
      <c r="B519" s="106"/>
      <c r="C519" s="107"/>
      <c r="D519" s="26">
        <f t="shared" si="301"/>
        <v>-1459</v>
      </c>
      <c r="E519" s="117"/>
      <c r="F519" s="117"/>
      <c r="G519" s="19">
        <f t="shared" si="302"/>
        <v>-1459</v>
      </c>
      <c r="H519" s="116"/>
      <c r="I519" s="107"/>
      <c r="J519" s="26">
        <f t="shared" si="303"/>
        <v>-1459</v>
      </c>
      <c r="K519" s="117"/>
      <c r="L519" s="117"/>
      <c r="M519" s="38">
        <f t="shared" si="304"/>
        <v>-1459</v>
      </c>
      <c r="N519" s="106"/>
      <c r="O519" s="107"/>
      <c r="P519" s="26">
        <f t="shared" si="305"/>
        <v>-1459</v>
      </c>
      <c r="Q519" s="117"/>
      <c r="R519" s="117"/>
      <c r="S519" s="38">
        <f t="shared" si="306"/>
        <v>-1459</v>
      </c>
      <c r="T519" s="106"/>
      <c r="U519" s="116"/>
      <c r="V519" s="20">
        <f t="shared" si="307"/>
        <v>-1459</v>
      </c>
      <c r="W519" s="143"/>
    </row>
    <row r="520" spans="1:23" ht="15.75" customHeight="1">
      <c r="A520" s="114"/>
      <c r="B520" s="122"/>
      <c r="C520" s="123"/>
      <c r="D520" s="26">
        <f t="shared" si="301"/>
        <v>-1459</v>
      </c>
      <c r="E520" s="117"/>
      <c r="F520" s="117"/>
      <c r="G520" s="19">
        <f t="shared" si="302"/>
        <v>-1459</v>
      </c>
      <c r="H520" s="124"/>
      <c r="I520" s="123"/>
      <c r="J520" s="26">
        <f t="shared" si="303"/>
        <v>-1459</v>
      </c>
      <c r="K520" s="117"/>
      <c r="L520" s="117"/>
      <c r="M520" s="38">
        <f t="shared" si="304"/>
        <v>-1459</v>
      </c>
      <c r="N520" s="122"/>
      <c r="O520" s="123"/>
      <c r="P520" s="26">
        <f t="shared" si="305"/>
        <v>-1459</v>
      </c>
      <c r="Q520" s="117"/>
      <c r="R520" s="117"/>
      <c r="S520" s="38">
        <f t="shared" si="306"/>
        <v>-1459</v>
      </c>
      <c r="T520" s="106"/>
      <c r="U520" s="116"/>
      <c r="V520" s="20">
        <f t="shared" si="307"/>
        <v>-1459</v>
      </c>
      <c r="W520" s="143"/>
    </row>
    <row r="521" spans="1:23" ht="15.75" customHeight="1">
      <c r="A521" s="114"/>
      <c r="B521" s="122"/>
      <c r="C521" s="123"/>
      <c r="D521" s="26">
        <f t="shared" si="301"/>
        <v>-1459</v>
      </c>
      <c r="E521" s="117"/>
      <c r="F521" s="117"/>
      <c r="G521" s="19">
        <f t="shared" si="302"/>
        <v>-1459</v>
      </c>
      <c r="H521" s="124"/>
      <c r="I521" s="123"/>
      <c r="J521" s="26">
        <f t="shared" si="303"/>
        <v>-1459</v>
      </c>
      <c r="K521" s="117"/>
      <c r="L521" s="117"/>
      <c r="M521" s="38">
        <f t="shared" si="304"/>
        <v>-1459</v>
      </c>
      <c r="N521" s="122"/>
      <c r="O521" s="123"/>
      <c r="P521" s="26">
        <f t="shared" si="305"/>
        <v>-1459</v>
      </c>
      <c r="Q521" s="117"/>
      <c r="R521" s="117"/>
      <c r="S521" s="38">
        <f t="shared" si="306"/>
        <v>-1459</v>
      </c>
      <c r="T521" s="122"/>
      <c r="U521" s="124"/>
      <c r="V521" s="20">
        <f t="shared" si="307"/>
        <v>-1459</v>
      </c>
      <c r="W521" s="143"/>
    </row>
    <row r="522" spans="1:23" ht="15.75" customHeight="1">
      <c r="A522" s="114"/>
      <c r="B522" s="122"/>
      <c r="C522" s="123"/>
      <c r="D522" s="39">
        <f t="shared" si="301"/>
        <v>-1459</v>
      </c>
      <c r="E522" s="128"/>
      <c r="F522" s="128"/>
      <c r="G522" s="55">
        <f t="shared" si="302"/>
        <v>-1459</v>
      </c>
      <c r="H522" s="124"/>
      <c r="I522" s="123"/>
      <c r="J522" s="39">
        <f t="shared" si="303"/>
        <v>-1459</v>
      </c>
      <c r="K522" s="128"/>
      <c r="L522" s="128"/>
      <c r="M522" s="40">
        <f t="shared" si="304"/>
        <v>-1459</v>
      </c>
      <c r="N522" s="122"/>
      <c r="O522" s="123"/>
      <c r="P522" s="39">
        <f t="shared" si="305"/>
        <v>-1459</v>
      </c>
      <c r="Q522" s="128"/>
      <c r="R522" s="128"/>
      <c r="S522" s="40">
        <f t="shared" si="306"/>
        <v>-1459</v>
      </c>
      <c r="T522" s="122"/>
      <c r="U522" s="123"/>
      <c r="V522" s="49">
        <f t="shared" si="307"/>
        <v>-1459</v>
      </c>
      <c r="W522" s="143"/>
    </row>
    <row r="523" spans="1:23" ht="15.75" customHeight="1">
      <c r="A523" s="87"/>
      <c r="B523" s="77">
        <f ca="1">IFERROR(__xludf.DUMMYFUNCTION("DATE(VALUE(LEFT($B$2,4)),VALUE(MID($B$2,6,2)),VALUE(RIGHT($B$2,2)))
+ (VALUE(REGEXEXTRACT(INDIRECT(""A""&amp;ROW()+1),""\d+""))-1)*7
+ INT((COLUMN()-COLUMN($B523))/3)
"),47055)</f>
        <v>47055</v>
      </c>
      <c r="C523" s="81"/>
      <c r="D523" s="82"/>
      <c r="E523" s="77">
        <f ca="1">IFERROR(__xludf.DUMMYFUNCTION("DATE(VALUE(LEFT($B$2,4)),VALUE(MID($B$2,6,2)),VALUE(RIGHT($B$2,2)))
+ (VALUE(REGEXEXTRACT(INDIRECT(""A""&amp;ROW()+1),""\d+""))-1)*7
+ INT((COLUMN()-COLUMN($B523))/3)
"),47056)</f>
        <v>47056</v>
      </c>
      <c r="F523" s="81"/>
      <c r="G523" s="82"/>
      <c r="H523" s="77">
        <f ca="1">IFERROR(__xludf.DUMMYFUNCTION("DATE(VALUE(LEFT($B$2,4)),VALUE(MID($B$2,6,2)),VALUE(RIGHT($B$2,2)))
+ (VALUE(REGEXEXTRACT(INDIRECT(""A""&amp;ROW()+1),""\d+""))-1)*7
+ INT((COLUMN()-COLUMN($B523))/3)
"),47057)</f>
        <v>47057</v>
      </c>
      <c r="I523" s="81"/>
      <c r="J523" s="82"/>
      <c r="K523" s="77">
        <f ca="1">IFERROR(__xludf.DUMMYFUNCTION("DATE(VALUE(LEFT($B$2,4)),VALUE(MID($B$2,6,2)),VALUE(RIGHT($B$2,2)))
+ (VALUE(REGEXEXTRACT(INDIRECT(""A""&amp;ROW()+1),""\d+""))-1)*7
+ INT((COLUMN()-COLUMN($B523))/3)
"),47058)</f>
        <v>47058</v>
      </c>
      <c r="L523" s="81"/>
      <c r="M523" s="82"/>
      <c r="N523" s="77">
        <f ca="1">IFERROR(__xludf.DUMMYFUNCTION("DATE(VALUE(LEFT($B$2,4)),VALUE(MID($B$2,6,2)),VALUE(RIGHT($B$2,2)))
+ (VALUE(REGEXEXTRACT(INDIRECT(""A""&amp;ROW()+1),""\d+""))-1)*7
+ INT((COLUMN()-COLUMN($B523))/3)
"),47059)</f>
        <v>47059</v>
      </c>
      <c r="O523" s="81"/>
      <c r="P523" s="82"/>
      <c r="Q523" s="77">
        <f ca="1">IFERROR(__xludf.DUMMYFUNCTION("DATE(VALUE(LEFT($B$2,4)),VALUE(MID($B$2,6,2)),VALUE(RIGHT($B$2,2)))
+ (VALUE(REGEXEXTRACT(INDIRECT(""A""&amp;ROW()+1),""\d+""))-1)*7
+ INT((COLUMN()-COLUMN($B523))/3)
"),47060)</f>
        <v>47060</v>
      </c>
      <c r="R523" s="81"/>
      <c r="S523" s="82"/>
      <c r="T523" s="77">
        <f ca="1">IFERROR(__xludf.DUMMYFUNCTION("DATE(VALUE(LEFT($B$2,4)),VALUE(MID($B$2,6,2)),VALUE(RIGHT($B$2,2)))
+ (VALUE(REGEXEXTRACT(INDIRECT(""A""&amp;ROW()+1),""\d+""))-1)*7
+ INT((COLUMN()-COLUMN($B523))/3)
"),47061)</f>
        <v>47061</v>
      </c>
      <c r="U523" s="81"/>
      <c r="V523" s="82"/>
      <c r="W523" s="52" t="s">
        <v>20</v>
      </c>
    </row>
    <row r="524" spans="1:23" ht="15.75" customHeight="1">
      <c r="A524" s="47" t="s">
        <v>173</v>
      </c>
      <c r="B524" s="113"/>
      <c r="C524" s="109"/>
      <c r="D524" s="42">
        <f>V522+C524</f>
        <v>-1459</v>
      </c>
      <c r="E524" s="112"/>
      <c r="F524" s="111"/>
      <c r="G524" s="36">
        <f>D534+F524</f>
        <v>-1459</v>
      </c>
      <c r="H524" s="132"/>
      <c r="I524" s="109"/>
      <c r="J524" s="42">
        <f>G534+I524</f>
        <v>-1459</v>
      </c>
      <c r="K524" s="112"/>
      <c r="L524" s="111"/>
      <c r="M524" s="18">
        <f>J534+L524</f>
        <v>-1459</v>
      </c>
      <c r="N524" s="113"/>
      <c r="O524" s="109"/>
      <c r="P524" s="35">
        <f>M534+O524</f>
        <v>-1459</v>
      </c>
      <c r="Q524" s="112"/>
      <c r="R524" s="111"/>
      <c r="S524" s="18">
        <f>P534+R524</f>
        <v>-1459</v>
      </c>
      <c r="T524" s="173"/>
      <c r="U524" s="173"/>
      <c r="V524" s="50">
        <f>S534+U524</f>
        <v>-1459</v>
      </c>
      <c r="W524" s="172"/>
    </row>
    <row r="525" spans="1:23" ht="15.75" customHeight="1">
      <c r="A525" s="114"/>
      <c r="B525" s="118"/>
      <c r="C525" s="117"/>
      <c r="D525" s="19">
        <f t="shared" ref="D525:D534" si="308">D524+C525</f>
        <v>-1459</v>
      </c>
      <c r="E525" s="106"/>
      <c r="F525" s="107"/>
      <c r="G525" s="26">
        <f t="shared" ref="G525:G534" si="309">G524+F525</f>
        <v>-1459</v>
      </c>
      <c r="H525" s="133"/>
      <c r="I525" s="117"/>
      <c r="J525" s="19">
        <f t="shared" ref="J525:J534" si="310">J524+I525</f>
        <v>-1459</v>
      </c>
      <c r="K525" s="106"/>
      <c r="L525" s="107"/>
      <c r="M525" s="26">
        <f t="shared" ref="M525:M534" si="311">M524+L525</f>
        <v>-1459</v>
      </c>
      <c r="N525" s="118"/>
      <c r="O525" s="117"/>
      <c r="P525" s="38">
        <f t="shared" ref="P525:P534" si="312">P524+O525</f>
        <v>-1459</v>
      </c>
      <c r="Q525" s="106"/>
      <c r="R525" s="107"/>
      <c r="S525" s="26">
        <f t="shared" ref="S525:S534" si="313">S524+R525</f>
        <v>-1459</v>
      </c>
      <c r="T525" s="136"/>
      <c r="U525" s="136"/>
      <c r="V525" s="45">
        <f t="shared" ref="V525:V534" si="314">V524+U525</f>
        <v>-1459</v>
      </c>
      <c r="W525" s="143"/>
    </row>
    <row r="526" spans="1:23" ht="15.75" customHeight="1">
      <c r="A526" s="114"/>
      <c r="B526" s="118"/>
      <c r="C526" s="117"/>
      <c r="D526" s="19">
        <f t="shared" si="308"/>
        <v>-1459</v>
      </c>
      <c r="E526" s="106"/>
      <c r="F526" s="107"/>
      <c r="G526" s="26">
        <f t="shared" si="309"/>
        <v>-1459</v>
      </c>
      <c r="H526" s="133"/>
      <c r="I526" s="117"/>
      <c r="J526" s="19">
        <f t="shared" si="310"/>
        <v>-1459</v>
      </c>
      <c r="K526" s="106"/>
      <c r="L526" s="107"/>
      <c r="M526" s="26">
        <f t="shared" si="311"/>
        <v>-1459</v>
      </c>
      <c r="N526" s="117"/>
      <c r="O526" s="117"/>
      <c r="P526" s="38">
        <f t="shared" si="312"/>
        <v>-1459</v>
      </c>
      <c r="Q526" s="106"/>
      <c r="R526" s="107"/>
      <c r="S526" s="26">
        <f t="shared" si="313"/>
        <v>-1459</v>
      </c>
      <c r="T526" s="136"/>
      <c r="U526" s="136"/>
      <c r="V526" s="45">
        <f t="shared" si="314"/>
        <v>-1459</v>
      </c>
      <c r="W526" s="143"/>
    </row>
    <row r="527" spans="1:23" ht="15.75" customHeight="1">
      <c r="A527" s="114"/>
      <c r="B527" s="118"/>
      <c r="C527" s="117"/>
      <c r="D527" s="19">
        <f t="shared" si="308"/>
        <v>-1459</v>
      </c>
      <c r="E527" s="106"/>
      <c r="F527" s="107"/>
      <c r="G527" s="26">
        <f t="shared" si="309"/>
        <v>-1459</v>
      </c>
      <c r="H527" s="133"/>
      <c r="I527" s="117"/>
      <c r="J527" s="19">
        <f t="shared" si="310"/>
        <v>-1459</v>
      </c>
      <c r="K527" s="106"/>
      <c r="L527" s="107"/>
      <c r="M527" s="26">
        <f t="shared" si="311"/>
        <v>-1459</v>
      </c>
      <c r="N527" s="117"/>
      <c r="O527" s="117"/>
      <c r="P527" s="38">
        <f t="shared" si="312"/>
        <v>-1459</v>
      </c>
      <c r="Q527" s="106"/>
      <c r="R527" s="107"/>
      <c r="S527" s="26">
        <f t="shared" si="313"/>
        <v>-1459</v>
      </c>
      <c r="T527" s="136"/>
      <c r="U527" s="136"/>
      <c r="V527" s="45">
        <f t="shared" si="314"/>
        <v>-1459</v>
      </c>
      <c r="W527" s="143"/>
    </row>
    <row r="528" spans="1:23" ht="15.75" customHeight="1">
      <c r="A528" s="114"/>
      <c r="B528" s="118"/>
      <c r="C528" s="117"/>
      <c r="D528" s="19">
        <f t="shared" si="308"/>
        <v>-1459</v>
      </c>
      <c r="E528" s="106"/>
      <c r="F528" s="107"/>
      <c r="G528" s="26">
        <f t="shared" si="309"/>
        <v>-1459</v>
      </c>
      <c r="H528" s="133"/>
      <c r="I528" s="117"/>
      <c r="J528" s="19">
        <f t="shared" si="310"/>
        <v>-1459</v>
      </c>
      <c r="K528" s="106"/>
      <c r="L528" s="107"/>
      <c r="M528" s="26">
        <f t="shared" si="311"/>
        <v>-1459</v>
      </c>
      <c r="N528" s="117"/>
      <c r="O528" s="117"/>
      <c r="P528" s="38">
        <f t="shared" si="312"/>
        <v>-1459</v>
      </c>
      <c r="Q528" s="106"/>
      <c r="R528" s="107"/>
      <c r="S528" s="26">
        <f t="shared" si="313"/>
        <v>-1459</v>
      </c>
      <c r="T528" s="136"/>
      <c r="U528" s="136"/>
      <c r="V528" s="45">
        <f t="shared" si="314"/>
        <v>-1459</v>
      </c>
      <c r="W528" s="143"/>
    </row>
    <row r="529" spans="1:23" ht="15.75" customHeight="1">
      <c r="A529" s="114"/>
      <c r="B529" s="118"/>
      <c r="C529" s="117"/>
      <c r="D529" s="19">
        <f t="shared" si="308"/>
        <v>-1459</v>
      </c>
      <c r="E529" s="106"/>
      <c r="F529" s="107"/>
      <c r="G529" s="26">
        <f t="shared" si="309"/>
        <v>-1459</v>
      </c>
      <c r="H529" s="133"/>
      <c r="I529" s="117"/>
      <c r="J529" s="19">
        <f t="shared" si="310"/>
        <v>-1459</v>
      </c>
      <c r="K529" s="106"/>
      <c r="L529" s="107"/>
      <c r="M529" s="26">
        <f t="shared" si="311"/>
        <v>-1459</v>
      </c>
      <c r="N529" s="117"/>
      <c r="O529" s="117"/>
      <c r="P529" s="38">
        <f t="shared" si="312"/>
        <v>-1459</v>
      </c>
      <c r="Q529" s="106"/>
      <c r="R529" s="107"/>
      <c r="S529" s="26">
        <f t="shared" si="313"/>
        <v>-1459</v>
      </c>
      <c r="T529" s="136"/>
      <c r="U529" s="136"/>
      <c r="V529" s="45">
        <f t="shared" si="314"/>
        <v>-1459</v>
      </c>
      <c r="W529" s="143"/>
    </row>
    <row r="530" spans="1:23" ht="15.75" customHeight="1">
      <c r="A530" s="114"/>
      <c r="B530" s="117"/>
      <c r="C530" s="117"/>
      <c r="D530" s="19">
        <f t="shared" si="308"/>
        <v>-1459</v>
      </c>
      <c r="E530" s="106"/>
      <c r="F530" s="107"/>
      <c r="G530" s="26">
        <f t="shared" si="309"/>
        <v>-1459</v>
      </c>
      <c r="H530" s="133"/>
      <c r="I530" s="117"/>
      <c r="J530" s="19">
        <f t="shared" si="310"/>
        <v>-1459</v>
      </c>
      <c r="K530" s="106"/>
      <c r="L530" s="107"/>
      <c r="M530" s="26">
        <f t="shared" si="311"/>
        <v>-1459</v>
      </c>
      <c r="N530" s="117"/>
      <c r="O530" s="117"/>
      <c r="P530" s="38">
        <f t="shared" si="312"/>
        <v>-1459</v>
      </c>
      <c r="Q530" s="106"/>
      <c r="R530" s="107"/>
      <c r="S530" s="26">
        <f t="shared" si="313"/>
        <v>-1459</v>
      </c>
      <c r="T530" s="136"/>
      <c r="U530" s="136"/>
      <c r="V530" s="45">
        <f t="shared" si="314"/>
        <v>-1459</v>
      </c>
      <c r="W530" s="143"/>
    </row>
    <row r="531" spans="1:23" ht="15.75" customHeight="1">
      <c r="A531" s="114"/>
      <c r="B531" s="117"/>
      <c r="C531" s="117"/>
      <c r="D531" s="19">
        <f t="shared" si="308"/>
        <v>-1459</v>
      </c>
      <c r="E531" s="106"/>
      <c r="F531" s="107"/>
      <c r="G531" s="26">
        <f t="shared" si="309"/>
        <v>-1459</v>
      </c>
      <c r="H531" s="133"/>
      <c r="I531" s="117"/>
      <c r="J531" s="19">
        <f t="shared" si="310"/>
        <v>-1459</v>
      </c>
      <c r="K531" s="106"/>
      <c r="L531" s="107"/>
      <c r="M531" s="26">
        <f t="shared" si="311"/>
        <v>-1459</v>
      </c>
      <c r="N531" s="117"/>
      <c r="O531" s="117"/>
      <c r="P531" s="38">
        <f t="shared" si="312"/>
        <v>-1459</v>
      </c>
      <c r="Q531" s="106"/>
      <c r="R531" s="107"/>
      <c r="S531" s="26">
        <f t="shared" si="313"/>
        <v>-1459</v>
      </c>
      <c r="T531" s="136"/>
      <c r="U531" s="136"/>
      <c r="V531" s="45">
        <f t="shared" si="314"/>
        <v>-1459</v>
      </c>
      <c r="W531" s="143"/>
    </row>
    <row r="532" spans="1:23" ht="15.75" customHeight="1">
      <c r="A532" s="114"/>
      <c r="B532" s="117"/>
      <c r="C532" s="117"/>
      <c r="D532" s="19">
        <f t="shared" si="308"/>
        <v>-1459</v>
      </c>
      <c r="E532" s="106"/>
      <c r="F532" s="107"/>
      <c r="G532" s="26">
        <f t="shared" si="309"/>
        <v>-1459</v>
      </c>
      <c r="H532" s="133"/>
      <c r="I532" s="117"/>
      <c r="J532" s="19">
        <f t="shared" si="310"/>
        <v>-1459</v>
      </c>
      <c r="K532" s="106"/>
      <c r="L532" s="107"/>
      <c r="M532" s="26">
        <f t="shared" si="311"/>
        <v>-1459</v>
      </c>
      <c r="N532" s="117"/>
      <c r="O532" s="117"/>
      <c r="P532" s="38">
        <f t="shared" si="312"/>
        <v>-1459</v>
      </c>
      <c r="Q532" s="106"/>
      <c r="R532" s="107"/>
      <c r="S532" s="26">
        <f t="shared" si="313"/>
        <v>-1459</v>
      </c>
      <c r="T532" s="136"/>
      <c r="U532" s="136"/>
      <c r="V532" s="45">
        <f t="shared" si="314"/>
        <v>-1459</v>
      </c>
      <c r="W532" s="143"/>
    </row>
    <row r="533" spans="1:23" ht="15.75" customHeight="1">
      <c r="A533" s="114"/>
      <c r="B533" s="117"/>
      <c r="C533" s="117"/>
      <c r="D533" s="19">
        <f t="shared" si="308"/>
        <v>-1459</v>
      </c>
      <c r="E533" s="122"/>
      <c r="F533" s="123"/>
      <c r="G533" s="26">
        <f t="shared" si="309"/>
        <v>-1459</v>
      </c>
      <c r="H533" s="133"/>
      <c r="I533" s="117"/>
      <c r="J533" s="19">
        <f t="shared" si="310"/>
        <v>-1459</v>
      </c>
      <c r="K533" s="122"/>
      <c r="L533" s="123"/>
      <c r="M533" s="26">
        <f t="shared" si="311"/>
        <v>-1459</v>
      </c>
      <c r="N533" s="117"/>
      <c r="O533" s="117"/>
      <c r="P533" s="38">
        <f t="shared" si="312"/>
        <v>-1459</v>
      </c>
      <c r="Q533" s="122"/>
      <c r="R533" s="123"/>
      <c r="S533" s="26">
        <f t="shared" si="313"/>
        <v>-1459</v>
      </c>
      <c r="T533" s="136"/>
      <c r="U533" s="136"/>
      <c r="V533" s="45">
        <f t="shared" si="314"/>
        <v>-1459</v>
      </c>
      <c r="W533" s="143"/>
    </row>
    <row r="534" spans="1:23" ht="15.75" customHeight="1">
      <c r="A534" s="114"/>
      <c r="B534" s="128"/>
      <c r="C534" s="128"/>
      <c r="D534" s="29">
        <f t="shared" si="308"/>
        <v>-1459</v>
      </c>
      <c r="E534" s="122"/>
      <c r="F534" s="123"/>
      <c r="G534" s="53">
        <f t="shared" si="309"/>
        <v>-1459</v>
      </c>
      <c r="H534" s="140"/>
      <c r="I534" s="128"/>
      <c r="J534" s="29">
        <f t="shared" si="310"/>
        <v>-1459</v>
      </c>
      <c r="K534" s="122"/>
      <c r="L534" s="123"/>
      <c r="M534" s="39">
        <f t="shared" si="311"/>
        <v>-1459</v>
      </c>
      <c r="N534" s="128"/>
      <c r="O534" s="128"/>
      <c r="P534" s="40">
        <f t="shared" si="312"/>
        <v>-1459</v>
      </c>
      <c r="Q534" s="122"/>
      <c r="R534" s="123"/>
      <c r="S534" s="39">
        <f t="shared" si="313"/>
        <v>-1459</v>
      </c>
      <c r="T534" s="141"/>
      <c r="U534" s="141"/>
      <c r="V534" s="46">
        <f t="shared" si="314"/>
        <v>-1459</v>
      </c>
      <c r="W534" s="143"/>
    </row>
    <row r="535" spans="1:23" ht="15.75" customHeight="1">
      <c r="A535" s="87"/>
      <c r="B535" s="77">
        <f ca="1">IFERROR(__xludf.DUMMYFUNCTION("DATE(VALUE(LEFT($B$2,4)),VALUE(MID($B$2,6,2)),VALUE(RIGHT($B$2,2)))
+ (VALUE(REGEXEXTRACT(INDIRECT(""A""&amp;ROW()+1),""\d+""))-1)*7
+ INT((COLUMN()-COLUMN($B535))/3)
"),47062)</f>
        <v>47062</v>
      </c>
      <c r="C535" s="81"/>
      <c r="D535" s="82"/>
      <c r="E535" s="77">
        <f ca="1">IFERROR(__xludf.DUMMYFUNCTION("DATE(VALUE(LEFT($B$2,4)),VALUE(MID($B$2,6,2)),VALUE(RIGHT($B$2,2)))
+ (VALUE(REGEXEXTRACT(INDIRECT(""A""&amp;ROW()+1),""\d+""))-1)*7
+ INT((COLUMN()-COLUMN($B535))/3)
"),47063)</f>
        <v>47063</v>
      </c>
      <c r="F535" s="81"/>
      <c r="G535" s="82"/>
      <c r="H535" s="77">
        <f ca="1">IFERROR(__xludf.DUMMYFUNCTION("DATE(VALUE(LEFT($B$2,4)),VALUE(MID($B$2,6,2)),VALUE(RIGHT($B$2,2)))
+ (VALUE(REGEXEXTRACT(INDIRECT(""A""&amp;ROW()+1),""\d+""))-1)*7
+ INT((COLUMN()-COLUMN($B535))/3)
"),47064)</f>
        <v>47064</v>
      </c>
      <c r="I535" s="81"/>
      <c r="J535" s="82"/>
      <c r="K535" s="77">
        <f ca="1">IFERROR(__xludf.DUMMYFUNCTION("DATE(VALUE(LEFT($B$2,4)),VALUE(MID($B$2,6,2)),VALUE(RIGHT($B$2,2)))
+ (VALUE(REGEXEXTRACT(INDIRECT(""A""&amp;ROW()+1),""\d+""))-1)*7
+ INT((COLUMN()-COLUMN($B535))/3)
"),47065)</f>
        <v>47065</v>
      </c>
      <c r="L535" s="81"/>
      <c r="M535" s="82"/>
      <c r="N535" s="77">
        <f ca="1">IFERROR(__xludf.DUMMYFUNCTION("DATE(VALUE(LEFT($B$2,4)),VALUE(MID($B$2,6,2)),VALUE(RIGHT($B$2,2)))
+ (VALUE(REGEXEXTRACT(INDIRECT(""A""&amp;ROW()+1),""\d+""))-1)*7
+ INT((COLUMN()-COLUMN($B535))/3)
"),47066)</f>
        <v>47066</v>
      </c>
      <c r="O535" s="81"/>
      <c r="P535" s="82"/>
      <c r="Q535" s="77">
        <f ca="1">IFERROR(__xludf.DUMMYFUNCTION("DATE(VALUE(LEFT($B$2,4)),VALUE(MID($B$2,6,2)),VALUE(RIGHT($B$2,2)))
+ (VALUE(REGEXEXTRACT(INDIRECT(""A""&amp;ROW()+1),""\d+""))-1)*7
+ INT((COLUMN()-COLUMN($B535))/3)
"),47067)</f>
        <v>47067</v>
      </c>
      <c r="R535" s="81"/>
      <c r="S535" s="82"/>
      <c r="T535" s="77">
        <f ca="1">IFERROR(__xludf.DUMMYFUNCTION("DATE(VALUE(LEFT($B$2,4)),VALUE(MID($B$2,6,2)),VALUE(RIGHT($B$2,2)))
+ (VALUE(REGEXEXTRACT(INDIRECT(""A""&amp;ROW()+1),""\d+""))-1)*7
+ INT((COLUMN()-COLUMN($B535))/3)
"),47068)</f>
        <v>47068</v>
      </c>
      <c r="U535" s="81"/>
      <c r="V535" s="82"/>
      <c r="W535" s="143"/>
    </row>
    <row r="536" spans="1:23" ht="15.75" customHeight="1">
      <c r="A536" s="51" t="s">
        <v>174</v>
      </c>
      <c r="B536" s="112"/>
      <c r="C536" s="111"/>
      <c r="D536" s="17">
        <f>V534+C536</f>
        <v>-1459</v>
      </c>
      <c r="E536" s="109"/>
      <c r="F536" s="109"/>
      <c r="G536" s="54">
        <f>D546+F536</f>
        <v>-1459</v>
      </c>
      <c r="H536" s="110"/>
      <c r="I536" s="111"/>
      <c r="J536" s="17">
        <f>G546+I536</f>
        <v>-1459</v>
      </c>
      <c r="K536" s="109"/>
      <c r="L536" s="109"/>
      <c r="M536" s="35">
        <f>J546+L536</f>
        <v>-1459</v>
      </c>
      <c r="N536" s="112"/>
      <c r="O536" s="111"/>
      <c r="P536" s="17">
        <f>M546+O536</f>
        <v>-1459</v>
      </c>
      <c r="Q536" s="109"/>
      <c r="R536" s="109"/>
      <c r="S536" s="35">
        <f>P546+R536</f>
        <v>-1459</v>
      </c>
      <c r="T536" s="112"/>
      <c r="U536" s="111"/>
      <c r="V536" s="48">
        <f>S546+U536</f>
        <v>-1459</v>
      </c>
      <c r="W536" s="143"/>
    </row>
    <row r="537" spans="1:23" ht="15.75" customHeight="1">
      <c r="A537" s="114"/>
      <c r="B537" s="106"/>
      <c r="C537" s="107"/>
      <c r="D537" s="26">
        <f t="shared" ref="D537:D546" si="315">D536+C537</f>
        <v>-1459</v>
      </c>
      <c r="E537" s="117"/>
      <c r="F537" s="117"/>
      <c r="G537" s="19">
        <f t="shared" ref="G537:G546" si="316">G536+F537</f>
        <v>-1459</v>
      </c>
      <c r="H537" s="116"/>
      <c r="I537" s="107"/>
      <c r="J537" s="26">
        <f t="shared" ref="J537:J546" si="317">J536+I537</f>
        <v>-1459</v>
      </c>
      <c r="K537" s="117"/>
      <c r="L537" s="117"/>
      <c r="M537" s="38">
        <f t="shared" ref="M537:M546" si="318">M536+L537</f>
        <v>-1459</v>
      </c>
      <c r="N537" s="106"/>
      <c r="O537" s="107"/>
      <c r="P537" s="26">
        <f t="shared" ref="P537:P546" si="319">P536+O537</f>
        <v>-1459</v>
      </c>
      <c r="Q537" s="117"/>
      <c r="R537" s="117"/>
      <c r="S537" s="38">
        <f t="shared" ref="S537:S546" si="320">S536+R537</f>
        <v>-1459</v>
      </c>
      <c r="T537" s="106"/>
      <c r="U537" s="107"/>
      <c r="V537" s="20">
        <f t="shared" ref="V537:V546" si="321">V536+U537</f>
        <v>-1459</v>
      </c>
      <c r="W537" s="143"/>
    </row>
    <row r="538" spans="1:23" ht="15.75" customHeight="1">
      <c r="A538" s="114"/>
      <c r="B538" s="106"/>
      <c r="C538" s="107"/>
      <c r="D538" s="26">
        <f t="shared" si="315"/>
        <v>-1459</v>
      </c>
      <c r="E538" s="117"/>
      <c r="F538" s="117"/>
      <c r="G538" s="19">
        <f t="shared" si="316"/>
        <v>-1459</v>
      </c>
      <c r="H538" s="116"/>
      <c r="I538" s="107"/>
      <c r="J538" s="26">
        <f t="shared" si="317"/>
        <v>-1459</v>
      </c>
      <c r="K538" s="117"/>
      <c r="L538" s="117"/>
      <c r="M538" s="38">
        <f t="shared" si="318"/>
        <v>-1459</v>
      </c>
      <c r="N538" s="106"/>
      <c r="O538" s="107"/>
      <c r="P538" s="26">
        <f t="shared" si="319"/>
        <v>-1459</v>
      </c>
      <c r="Q538" s="117"/>
      <c r="R538" s="117"/>
      <c r="S538" s="38">
        <f t="shared" si="320"/>
        <v>-1459</v>
      </c>
      <c r="T538" s="106"/>
      <c r="U538" s="116"/>
      <c r="V538" s="20">
        <f t="shared" si="321"/>
        <v>-1459</v>
      </c>
      <c r="W538" s="143"/>
    </row>
    <row r="539" spans="1:23" ht="15.75" customHeight="1">
      <c r="A539" s="114"/>
      <c r="B539" s="106"/>
      <c r="C539" s="107"/>
      <c r="D539" s="26">
        <f t="shared" si="315"/>
        <v>-1459</v>
      </c>
      <c r="E539" s="117"/>
      <c r="F539" s="117"/>
      <c r="G539" s="19">
        <f t="shared" si="316"/>
        <v>-1459</v>
      </c>
      <c r="H539" s="116"/>
      <c r="I539" s="107"/>
      <c r="J539" s="26">
        <f t="shared" si="317"/>
        <v>-1459</v>
      </c>
      <c r="K539" s="117"/>
      <c r="L539" s="117"/>
      <c r="M539" s="38">
        <f t="shared" si="318"/>
        <v>-1459</v>
      </c>
      <c r="N539" s="106"/>
      <c r="O539" s="107"/>
      <c r="P539" s="26">
        <f t="shared" si="319"/>
        <v>-1459</v>
      </c>
      <c r="Q539" s="117"/>
      <c r="R539" s="117"/>
      <c r="S539" s="38">
        <f t="shared" si="320"/>
        <v>-1459</v>
      </c>
      <c r="T539" s="106"/>
      <c r="U539" s="116"/>
      <c r="V539" s="20">
        <f t="shared" si="321"/>
        <v>-1459</v>
      </c>
      <c r="W539" s="143"/>
    </row>
    <row r="540" spans="1:23" ht="15.75" customHeight="1">
      <c r="A540" s="114"/>
      <c r="B540" s="106"/>
      <c r="C540" s="107"/>
      <c r="D540" s="26">
        <f t="shared" si="315"/>
        <v>-1459</v>
      </c>
      <c r="E540" s="117"/>
      <c r="F540" s="117"/>
      <c r="G540" s="19">
        <f t="shared" si="316"/>
        <v>-1459</v>
      </c>
      <c r="H540" s="116"/>
      <c r="I540" s="107"/>
      <c r="J540" s="26">
        <f t="shared" si="317"/>
        <v>-1459</v>
      </c>
      <c r="K540" s="117"/>
      <c r="L540" s="117"/>
      <c r="M540" s="38">
        <f t="shared" si="318"/>
        <v>-1459</v>
      </c>
      <c r="N540" s="106"/>
      <c r="O540" s="107"/>
      <c r="P540" s="26">
        <f t="shared" si="319"/>
        <v>-1459</v>
      </c>
      <c r="Q540" s="117"/>
      <c r="R540" s="117"/>
      <c r="S540" s="38">
        <f t="shared" si="320"/>
        <v>-1459</v>
      </c>
      <c r="T540" s="106"/>
      <c r="U540" s="116"/>
      <c r="V540" s="20">
        <f t="shared" si="321"/>
        <v>-1459</v>
      </c>
      <c r="W540" s="143"/>
    </row>
    <row r="541" spans="1:23" ht="15.75" customHeight="1">
      <c r="A541" s="114"/>
      <c r="B541" s="106"/>
      <c r="C541" s="107"/>
      <c r="D541" s="26">
        <f t="shared" si="315"/>
        <v>-1459</v>
      </c>
      <c r="E541" s="117"/>
      <c r="F541" s="117"/>
      <c r="G541" s="19">
        <f t="shared" si="316"/>
        <v>-1459</v>
      </c>
      <c r="H541" s="116"/>
      <c r="I541" s="107"/>
      <c r="J541" s="26">
        <f t="shared" si="317"/>
        <v>-1459</v>
      </c>
      <c r="K541" s="117"/>
      <c r="L541" s="117"/>
      <c r="M541" s="38">
        <f t="shared" si="318"/>
        <v>-1459</v>
      </c>
      <c r="N541" s="106"/>
      <c r="O541" s="107"/>
      <c r="P541" s="26">
        <f t="shared" si="319"/>
        <v>-1459</v>
      </c>
      <c r="Q541" s="117"/>
      <c r="R541" s="117"/>
      <c r="S541" s="38">
        <f t="shared" si="320"/>
        <v>-1459</v>
      </c>
      <c r="T541" s="106"/>
      <c r="U541" s="116"/>
      <c r="V541" s="20">
        <f t="shared" si="321"/>
        <v>-1459</v>
      </c>
      <c r="W541" s="143"/>
    </row>
    <row r="542" spans="1:23" ht="15.75" customHeight="1">
      <c r="A542" s="114"/>
      <c r="B542" s="106"/>
      <c r="C542" s="107"/>
      <c r="D542" s="26">
        <f t="shared" si="315"/>
        <v>-1459</v>
      </c>
      <c r="E542" s="117"/>
      <c r="F542" s="117"/>
      <c r="G542" s="19">
        <f t="shared" si="316"/>
        <v>-1459</v>
      </c>
      <c r="H542" s="116"/>
      <c r="I542" s="107"/>
      <c r="J542" s="26">
        <f t="shared" si="317"/>
        <v>-1459</v>
      </c>
      <c r="K542" s="117"/>
      <c r="L542" s="117"/>
      <c r="M542" s="38">
        <f t="shared" si="318"/>
        <v>-1459</v>
      </c>
      <c r="N542" s="106"/>
      <c r="O542" s="107"/>
      <c r="P542" s="26">
        <f t="shared" si="319"/>
        <v>-1459</v>
      </c>
      <c r="Q542" s="117"/>
      <c r="R542" s="117"/>
      <c r="S542" s="38">
        <f t="shared" si="320"/>
        <v>-1459</v>
      </c>
      <c r="T542" s="106"/>
      <c r="U542" s="116"/>
      <c r="V542" s="20">
        <f t="shared" si="321"/>
        <v>-1459</v>
      </c>
      <c r="W542" s="143"/>
    </row>
    <row r="543" spans="1:23" ht="15.75" customHeight="1">
      <c r="A543" s="114"/>
      <c r="B543" s="106"/>
      <c r="C543" s="107"/>
      <c r="D543" s="26">
        <f t="shared" si="315"/>
        <v>-1459</v>
      </c>
      <c r="E543" s="117"/>
      <c r="F543" s="117"/>
      <c r="G543" s="19">
        <f t="shared" si="316"/>
        <v>-1459</v>
      </c>
      <c r="H543" s="116"/>
      <c r="I543" s="107"/>
      <c r="J543" s="26">
        <f t="shared" si="317"/>
        <v>-1459</v>
      </c>
      <c r="K543" s="117"/>
      <c r="L543" s="117"/>
      <c r="M543" s="38">
        <f t="shared" si="318"/>
        <v>-1459</v>
      </c>
      <c r="N543" s="106"/>
      <c r="O543" s="107"/>
      <c r="P543" s="26">
        <f t="shared" si="319"/>
        <v>-1459</v>
      </c>
      <c r="Q543" s="117"/>
      <c r="R543" s="117"/>
      <c r="S543" s="38">
        <f t="shared" si="320"/>
        <v>-1459</v>
      </c>
      <c r="T543" s="106"/>
      <c r="U543" s="116"/>
      <c r="V543" s="20">
        <f t="shared" si="321"/>
        <v>-1459</v>
      </c>
      <c r="W543" s="143"/>
    </row>
    <row r="544" spans="1:23" ht="15.75" customHeight="1">
      <c r="A544" s="114"/>
      <c r="B544" s="122"/>
      <c r="C544" s="123"/>
      <c r="D544" s="26">
        <f t="shared" si="315"/>
        <v>-1459</v>
      </c>
      <c r="E544" s="117"/>
      <c r="F544" s="117"/>
      <c r="G544" s="19">
        <f t="shared" si="316"/>
        <v>-1459</v>
      </c>
      <c r="H544" s="124"/>
      <c r="I544" s="123"/>
      <c r="J544" s="26">
        <f t="shared" si="317"/>
        <v>-1459</v>
      </c>
      <c r="K544" s="117"/>
      <c r="L544" s="117"/>
      <c r="M544" s="38">
        <f t="shared" si="318"/>
        <v>-1459</v>
      </c>
      <c r="N544" s="122"/>
      <c r="O544" s="123"/>
      <c r="P544" s="26">
        <f t="shared" si="319"/>
        <v>-1459</v>
      </c>
      <c r="Q544" s="117"/>
      <c r="R544" s="117"/>
      <c r="S544" s="38">
        <f t="shared" si="320"/>
        <v>-1459</v>
      </c>
      <c r="T544" s="106"/>
      <c r="U544" s="116"/>
      <c r="V544" s="20">
        <f t="shared" si="321"/>
        <v>-1459</v>
      </c>
      <c r="W544" s="143"/>
    </row>
    <row r="545" spans="1:23" ht="15.75" customHeight="1">
      <c r="A545" s="114"/>
      <c r="B545" s="122"/>
      <c r="C545" s="123"/>
      <c r="D545" s="26">
        <f t="shared" si="315"/>
        <v>-1459</v>
      </c>
      <c r="E545" s="117"/>
      <c r="F545" s="117"/>
      <c r="G545" s="19">
        <f t="shared" si="316"/>
        <v>-1459</v>
      </c>
      <c r="H545" s="124"/>
      <c r="I545" s="123"/>
      <c r="J545" s="26">
        <f t="shared" si="317"/>
        <v>-1459</v>
      </c>
      <c r="K545" s="117"/>
      <c r="L545" s="117"/>
      <c r="M545" s="38">
        <f t="shared" si="318"/>
        <v>-1459</v>
      </c>
      <c r="N545" s="122"/>
      <c r="O545" s="123"/>
      <c r="P545" s="26">
        <f t="shared" si="319"/>
        <v>-1459</v>
      </c>
      <c r="Q545" s="117"/>
      <c r="R545" s="117"/>
      <c r="S545" s="38">
        <f t="shared" si="320"/>
        <v>-1459</v>
      </c>
      <c r="T545" s="122"/>
      <c r="U545" s="124"/>
      <c r="V545" s="20">
        <f t="shared" si="321"/>
        <v>-1459</v>
      </c>
      <c r="W545" s="143"/>
    </row>
    <row r="546" spans="1:23" ht="15.75" customHeight="1">
      <c r="A546" s="114"/>
      <c r="B546" s="122"/>
      <c r="C546" s="123"/>
      <c r="D546" s="39">
        <f t="shared" si="315"/>
        <v>-1459</v>
      </c>
      <c r="E546" s="128"/>
      <c r="F546" s="128"/>
      <c r="G546" s="55">
        <f t="shared" si="316"/>
        <v>-1459</v>
      </c>
      <c r="H546" s="124"/>
      <c r="I546" s="123"/>
      <c r="J546" s="39">
        <f t="shared" si="317"/>
        <v>-1459</v>
      </c>
      <c r="K546" s="128"/>
      <c r="L546" s="128"/>
      <c r="M546" s="40">
        <f t="shared" si="318"/>
        <v>-1459</v>
      </c>
      <c r="N546" s="122"/>
      <c r="O546" s="123"/>
      <c r="P546" s="39">
        <f t="shared" si="319"/>
        <v>-1459</v>
      </c>
      <c r="Q546" s="128"/>
      <c r="R546" s="128"/>
      <c r="S546" s="40">
        <f t="shared" si="320"/>
        <v>-1459</v>
      </c>
      <c r="T546" s="122"/>
      <c r="U546" s="123"/>
      <c r="V546" s="49">
        <f t="shared" si="321"/>
        <v>-1459</v>
      </c>
      <c r="W546" s="143"/>
    </row>
    <row r="547" spans="1:23" ht="15.75" customHeight="1">
      <c r="A547" s="87"/>
      <c r="B547" s="77">
        <f ca="1">IFERROR(__xludf.DUMMYFUNCTION("DATE(VALUE(LEFT($B$2,4)),VALUE(MID($B$2,6,2)),VALUE(RIGHT($B$2,2)))
+ (VALUE(REGEXEXTRACT(INDIRECT(""A""&amp;ROW()+1),""\d+""))-1)*7
+ INT((COLUMN()-COLUMN($B547))/3)
"),47069)</f>
        <v>47069</v>
      </c>
      <c r="C547" s="81"/>
      <c r="D547" s="82"/>
      <c r="E547" s="77">
        <f ca="1">IFERROR(__xludf.DUMMYFUNCTION("DATE(VALUE(LEFT($B$2,4)),VALUE(MID($B$2,6,2)),VALUE(RIGHT($B$2,2)))
+ (VALUE(REGEXEXTRACT(INDIRECT(""A""&amp;ROW()+1),""\d+""))-1)*7
+ INT((COLUMN()-COLUMN($B547))/3)
"),47070)</f>
        <v>47070</v>
      </c>
      <c r="F547" s="81"/>
      <c r="G547" s="82"/>
      <c r="H547" s="77">
        <f ca="1">IFERROR(__xludf.DUMMYFUNCTION("DATE(VALUE(LEFT($B$2,4)),VALUE(MID($B$2,6,2)),VALUE(RIGHT($B$2,2)))
+ (VALUE(REGEXEXTRACT(INDIRECT(""A""&amp;ROW()+1),""\d+""))-1)*7
+ INT((COLUMN()-COLUMN($B547))/3)
"),47071)</f>
        <v>47071</v>
      </c>
      <c r="I547" s="81"/>
      <c r="J547" s="82"/>
      <c r="K547" s="77">
        <f ca="1">IFERROR(__xludf.DUMMYFUNCTION("DATE(VALUE(LEFT($B$2,4)),VALUE(MID($B$2,6,2)),VALUE(RIGHT($B$2,2)))
+ (VALUE(REGEXEXTRACT(INDIRECT(""A""&amp;ROW()+1),""\d+""))-1)*7
+ INT((COLUMN()-COLUMN($B547))/3)
"),47072)</f>
        <v>47072</v>
      </c>
      <c r="L547" s="81"/>
      <c r="M547" s="82"/>
      <c r="N547" s="77">
        <f ca="1">IFERROR(__xludf.DUMMYFUNCTION("DATE(VALUE(LEFT($B$2,4)),VALUE(MID($B$2,6,2)),VALUE(RIGHT($B$2,2)))
+ (VALUE(REGEXEXTRACT(INDIRECT(""A""&amp;ROW()+1),""\d+""))-1)*7
+ INT((COLUMN()-COLUMN($B547))/3)
"),47073)</f>
        <v>47073</v>
      </c>
      <c r="O547" s="81"/>
      <c r="P547" s="82"/>
      <c r="Q547" s="77">
        <f ca="1">IFERROR(__xludf.DUMMYFUNCTION("DATE(VALUE(LEFT($B$2,4)),VALUE(MID($B$2,6,2)),VALUE(RIGHT($B$2,2)))
+ (VALUE(REGEXEXTRACT(INDIRECT(""A""&amp;ROW()+1),""\d+""))-1)*7
+ INT((COLUMN()-COLUMN($B547))/3)
"),47074)</f>
        <v>47074</v>
      </c>
      <c r="R547" s="81"/>
      <c r="S547" s="82"/>
      <c r="T547" s="77">
        <f ca="1">IFERROR(__xludf.DUMMYFUNCTION("DATE(VALUE(LEFT($B$2,4)),VALUE(MID($B$2,6,2)),VALUE(RIGHT($B$2,2)))
+ (VALUE(REGEXEXTRACT(INDIRECT(""A""&amp;ROW()+1),""\d+""))-1)*7
+ INT((COLUMN()-COLUMN($B547))/3)
"),47075)</f>
        <v>47075</v>
      </c>
      <c r="U547" s="81"/>
      <c r="V547" s="82"/>
      <c r="W547" s="52" t="s">
        <v>20</v>
      </c>
    </row>
    <row r="548" spans="1:23" ht="15.75" customHeight="1">
      <c r="A548" s="47" t="s">
        <v>175</v>
      </c>
      <c r="B548" s="109"/>
      <c r="C548" s="109"/>
      <c r="D548" s="42">
        <f>V546+C548</f>
        <v>-1459</v>
      </c>
      <c r="E548" s="112"/>
      <c r="F548" s="111"/>
      <c r="G548" s="36">
        <f>D558+F548</f>
        <v>-1459</v>
      </c>
      <c r="H548" s="132"/>
      <c r="I548" s="109"/>
      <c r="J548" s="42">
        <f>G558+I548</f>
        <v>-1459</v>
      </c>
      <c r="K548" s="112"/>
      <c r="L548" s="111"/>
      <c r="M548" s="18">
        <f>J558+L548</f>
        <v>-1459</v>
      </c>
      <c r="N548" s="113"/>
      <c r="O548" s="109"/>
      <c r="P548" s="35">
        <f>M558+O548</f>
        <v>-1459</v>
      </c>
      <c r="Q548" s="112"/>
      <c r="R548" s="111"/>
      <c r="S548" s="18">
        <f>P558+R548</f>
        <v>-1459</v>
      </c>
      <c r="T548" s="173"/>
      <c r="U548" s="173"/>
      <c r="V548" s="50">
        <f>S558+U548</f>
        <v>-1459</v>
      </c>
      <c r="W548" s="172"/>
    </row>
    <row r="549" spans="1:23" ht="15.75" customHeight="1">
      <c r="A549" s="114"/>
      <c r="B549" s="117"/>
      <c r="C549" s="117"/>
      <c r="D549" s="19">
        <f t="shared" ref="D549:D558" si="322">D548+C549</f>
        <v>-1459</v>
      </c>
      <c r="E549" s="106"/>
      <c r="F549" s="107"/>
      <c r="G549" s="26">
        <f t="shared" ref="G549:G558" si="323">G548+F549</f>
        <v>-1459</v>
      </c>
      <c r="H549" s="133"/>
      <c r="I549" s="117"/>
      <c r="J549" s="19">
        <f t="shared" ref="J549:J558" si="324">J548+I549</f>
        <v>-1459</v>
      </c>
      <c r="K549" s="106"/>
      <c r="L549" s="107"/>
      <c r="M549" s="26">
        <f t="shared" ref="M549:M558" si="325">M548+L549</f>
        <v>-1459</v>
      </c>
      <c r="N549" s="118"/>
      <c r="O549" s="117"/>
      <c r="P549" s="38">
        <f t="shared" ref="P549:P558" si="326">P548+O549</f>
        <v>-1459</v>
      </c>
      <c r="Q549" s="106"/>
      <c r="R549" s="107"/>
      <c r="S549" s="26">
        <f t="shared" ref="S549:S558" si="327">S548+R549</f>
        <v>-1459</v>
      </c>
      <c r="T549" s="136"/>
      <c r="U549" s="136"/>
      <c r="V549" s="45">
        <f t="shared" ref="V549:V558" si="328">V548+U549</f>
        <v>-1459</v>
      </c>
      <c r="W549" s="143"/>
    </row>
    <row r="550" spans="1:23" ht="15.75" customHeight="1">
      <c r="A550" s="114"/>
      <c r="B550" s="118"/>
      <c r="C550" s="117"/>
      <c r="D550" s="19">
        <f t="shared" si="322"/>
        <v>-1459</v>
      </c>
      <c r="E550" s="106"/>
      <c r="F550" s="107"/>
      <c r="G550" s="26">
        <f t="shared" si="323"/>
        <v>-1459</v>
      </c>
      <c r="H550" s="133"/>
      <c r="I550" s="117"/>
      <c r="J550" s="19">
        <f t="shared" si="324"/>
        <v>-1459</v>
      </c>
      <c r="K550" s="106"/>
      <c r="L550" s="107"/>
      <c r="M550" s="26">
        <f t="shared" si="325"/>
        <v>-1459</v>
      </c>
      <c r="N550" s="117"/>
      <c r="O550" s="117"/>
      <c r="P550" s="38">
        <f t="shared" si="326"/>
        <v>-1459</v>
      </c>
      <c r="Q550" s="106"/>
      <c r="R550" s="107"/>
      <c r="S550" s="26">
        <f t="shared" si="327"/>
        <v>-1459</v>
      </c>
      <c r="T550" s="136"/>
      <c r="U550" s="136"/>
      <c r="V550" s="45">
        <f t="shared" si="328"/>
        <v>-1459</v>
      </c>
      <c r="W550" s="143"/>
    </row>
    <row r="551" spans="1:23" ht="15.75" customHeight="1">
      <c r="A551" s="114"/>
      <c r="B551" s="118"/>
      <c r="C551" s="117"/>
      <c r="D551" s="19">
        <f t="shared" si="322"/>
        <v>-1459</v>
      </c>
      <c r="E551" s="106"/>
      <c r="F551" s="107"/>
      <c r="G551" s="26">
        <f t="shared" si="323"/>
        <v>-1459</v>
      </c>
      <c r="H551" s="133"/>
      <c r="I551" s="117"/>
      <c r="J551" s="19">
        <f t="shared" si="324"/>
        <v>-1459</v>
      </c>
      <c r="K551" s="106"/>
      <c r="L551" s="107"/>
      <c r="M551" s="26">
        <f t="shared" si="325"/>
        <v>-1459</v>
      </c>
      <c r="N551" s="117"/>
      <c r="O551" s="117"/>
      <c r="P551" s="38">
        <f t="shared" si="326"/>
        <v>-1459</v>
      </c>
      <c r="Q551" s="106"/>
      <c r="R551" s="107"/>
      <c r="S551" s="26">
        <f t="shared" si="327"/>
        <v>-1459</v>
      </c>
      <c r="T551" s="136"/>
      <c r="U551" s="136"/>
      <c r="V551" s="45">
        <f t="shared" si="328"/>
        <v>-1459</v>
      </c>
      <c r="W551" s="143"/>
    </row>
    <row r="552" spans="1:23" ht="15.75" customHeight="1">
      <c r="A552" s="114"/>
      <c r="B552" s="118"/>
      <c r="C552" s="117"/>
      <c r="D552" s="19">
        <f t="shared" si="322"/>
        <v>-1459</v>
      </c>
      <c r="E552" s="106"/>
      <c r="F552" s="107"/>
      <c r="G552" s="26">
        <f t="shared" si="323"/>
        <v>-1459</v>
      </c>
      <c r="H552" s="133"/>
      <c r="I552" s="117"/>
      <c r="J552" s="19">
        <f t="shared" si="324"/>
        <v>-1459</v>
      </c>
      <c r="K552" s="106"/>
      <c r="L552" s="107"/>
      <c r="M552" s="26">
        <f t="shared" si="325"/>
        <v>-1459</v>
      </c>
      <c r="N552" s="117"/>
      <c r="O552" s="117"/>
      <c r="P552" s="38">
        <f t="shared" si="326"/>
        <v>-1459</v>
      </c>
      <c r="Q552" s="106"/>
      <c r="R552" s="107"/>
      <c r="S552" s="26">
        <f t="shared" si="327"/>
        <v>-1459</v>
      </c>
      <c r="T552" s="136"/>
      <c r="U552" s="136"/>
      <c r="V552" s="45">
        <f t="shared" si="328"/>
        <v>-1459</v>
      </c>
      <c r="W552" s="143"/>
    </row>
    <row r="553" spans="1:23" ht="15.75" customHeight="1">
      <c r="A553" s="114"/>
      <c r="B553" s="118"/>
      <c r="C553" s="117"/>
      <c r="D553" s="19">
        <f t="shared" si="322"/>
        <v>-1459</v>
      </c>
      <c r="E553" s="106"/>
      <c r="F553" s="107"/>
      <c r="G553" s="26">
        <f t="shared" si="323"/>
        <v>-1459</v>
      </c>
      <c r="H553" s="133"/>
      <c r="I553" s="117"/>
      <c r="J553" s="19">
        <f t="shared" si="324"/>
        <v>-1459</v>
      </c>
      <c r="K553" s="106"/>
      <c r="L553" s="107"/>
      <c r="M553" s="26">
        <f t="shared" si="325"/>
        <v>-1459</v>
      </c>
      <c r="N553" s="117"/>
      <c r="O553" s="117"/>
      <c r="P553" s="38">
        <f t="shared" si="326"/>
        <v>-1459</v>
      </c>
      <c r="Q553" s="106"/>
      <c r="R553" s="107"/>
      <c r="S553" s="26">
        <f t="shared" si="327"/>
        <v>-1459</v>
      </c>
      <c r="T553" s="136"/>
      <c r="U553" s="136"/>
      <c r="V553" s="45">
        <f t="shared" si="328"/>
        <v>-1459</v>
      </c>
      <c r="W553" s="143"/>
    </row>
    <row r="554" spans="1:23" ht="15.75" customHeight="1">
      <c r="A554" s="114"/>
      <c r="B554" s="118"/>
      <c r="C554" s="117"/>
      <c r="D554" s="19">
        <f t="shared" si="322"/>
        <v>-1459</v>
      </c>
      <c r="E554" s="106"/>
      <c r="F554" s="107"/>
      <c r="G554" s="26">
        <f t="shared" si="323"/>
        <v>-1459</v>
      </c>
      <c r="H554" s="133"/>
      <c r="I554" s="117"/>
      <c r="J554" s="19">
        <f t="shared" si="324"/>
        <v>-1459</v>
      </c>
      <c r="K554" s="106"/>
      <c r="L554" s="107"/>
      <c r="M554" s="26">
        <f t="shared" si="325"/>
        <v>-1459</v>
      </c>
      <c r="N554" s="117"/>
      <c r="O554" s="117"/>
      <c r="P554" s="38">
        <f t="shared" si="326"/>
        <v>-1459</v>
      </c>
      <c r="Q554" s="106"/>
      <c r="R554" s="107"/>
      <c r="S554" s="26">
        <f t="shared" si="327"/>
        <v>-1459</v>
      </c>
      <c r="T554" s="136"/>
      <c r="U554" s="136"/>
      <c r="V554" s="45">
        <f t="shared" si="328"/>
        <v>-1459</v>
      </c>
      <c r="W554" s="143"/>
    </row>
    <row r="555" spans="1:23" ht="15.75" customHeight="1">
      <c r="A555" s="114"/>
      <c r="B555" s="118"/>
      <c r="C555" s="117"/>
      <c r="D555" s="19">
        <f t="shared" si="322"/>
        <v>-1459</v>
      </c>
      <c r="E555" s="106"/>
      <c r="F555" s="107"/>
      <c r="G555" s="26">
        <f t="shared" si="323"/>
        <v>-1459</v>
      </c>
      <c r="H555" s="133"/>
      <c r="I555" s="117"/>
      <c r="J555" s="19">
        <f t="shared" si="324"/>
        <v>-1459</v>
      </c>
      <c r="K555" s="106"/>
      <c r="L555" s="107"/>
      <c r="M555" s="26">
        <f t="shared" si="325"/>
        <v>-1459</v>
      </c>
      <c r="N555" s="117"/>
      <c r="O555" s="117"/>
      <c r="P555" s="38">
        <f t="shared" si="326"/>
        <v>-1459</v>
      </c>
      <c r="Q555" s="106"/>
      <c r="R555" s="107"/>
      <c r="S555" s="26">
        <f t="shared" si="327"/>
        <v>-1459</v>
      </c>
      <c r="T555" s="136"/>
      <c r="U555" s="136"/>
      <c r="V555" s="45">
        <f t="shared" si="328"/>
        <v>-1459</v>
      </c>
      <c r="W555" s="143"/>
    </row>
    <row r="556" spans="1:23" ht="15.75" customHeight="1">
      <c r="A556" s="114"/>
      <c r="B556" s="117"/>
      <c r="C556" s="117"/>
      <c r="D556" s="19">
        <f t="shared" si="322"/>
        <v>-1459</v>
      </c>
      <c r="E556" s="106"/>
      <c r="F556" s="107"/>
      <c r="G556" s="26">
        <f t="shared" si="323"/>
        <v>-1459</v>
      </c>
      <c r="H556" s="133"/>
      <c r="I556" s="117"/>
      <c r="J556" s="19">
        <f t="shared" si="324"/>
        <v>-1459</v>
      </c>
      <c r="K556" s="106"/>
      <c r="L556" s="107"/>
      <c r="M556" s="26">
        <f t="shared" si="325"/>
        <v>-1459</v>
      </c>
      <c r="N556" s="117"/>
      <c r="O556" s="117"/>
      <c r="P556" s="38">
        <f t="shared" si="326"/>
        <v>-1459</v>
      </c>
      <c r="Q556" s="106"/>
      <c r="R556" s="107"/>
      <c r="S556" s="26">
        <f t="shared" si="327"/>
        <v>-1459</v>
      </c>
      <c r="T556" s="136"/>
      <c r="U556" s="136"/>
      <c r="V556" s="45">
        <f t="shared" si="328"/>
        <v>-1459</v>
      </c>
      <c r="W556" s="143"/>
    </row>
    <row r="557" spans="1:23" ht="15.75" customHeight="1">
      <c r="A557" s="114"/>
      <c r="B557" s="117"/>
      <c r="C557" s="117"/>
      <c r="D557" s="19">
        <f t="shared" si="322"/>
        <v>-1459</v>
      </c>
      <c r="E557" s="122"/>
      <c r="F557" s="123"/>
      <c r="G557" s="26">
        <f t="shared" si="323"/>
        <v>-1459</v>
      </c>
      <c r="H557" s="133"/>
      <c r="I557" s="117"/>
      <c r="J557" s="19">
        <f t="shared" si="324"/>
        <v>-1459</v>
      </c>
      <c r="K557" s="122"/>
      <c r="L557" s="123"/>
      <c r="M557" s="26">
        <f t="shared" si="325"/>
        <v>-1459</v>
      </c>
      <c r="N557" s="117"/>
      <c r="O557" s="117"/>
      <c r="P557" s="38">
        <f t="shared" si="326"/>
        <v>-1459</v>
      </c>
      <c r="Q557" s="122"/>
      <c r="R557" s="123"/>
      <c r="S557" s="26">
        <f t="shared" si="327"/>
        <v>-1459</v>
      </c>
      <c r="T557" s="136"/>
      <c r="U557" s="136"/>
      <c r="V557" s="45">
        <f t="shared" si="328"/>
        <v>-1459</v>
      </c>
      <c r="W557" s="143"/>
    </row>
    <row r="558" spans="1:23" ht="15.75" customHeight="1">
      <c r="A558" s="114"/>
      <c r="B558" s="128"/>
      <c r="C558" s="128"/>
      <c r="D558" s="29">
        <f t="shared" si="322"/>
        <v>-1459</v>
      </c>
      <c r="E558" s="122"/>
      <c r="F558" s="123"/>
      <c r="G558" s="53">
        <f t="shared" si="323"/>
        <v>-1459</v>
      </c>
      <c r="H558" s="140"/>
      <c r="I558" s="128"/>
      <c r="J558" s="29">
        <f t="shared" si="324"/>
        <v>-1459</v>
      </c>
      <c r="K558" s="122"/>
      <c r="L558" s="123"/>
      <c r="M558" s="39">
        <f t="shared" si="325"/>
        <v>-1459</v>
      </c>
      <c r="N558" s="128"/>
      <c r="O558" s="128"/>
      <c r="P558" s="40">
        <f t="shared" si="326"/>
        <v>-1459</v>
      </c>
      <c r="Q558" s="122"/>
      <c r="R558" s="123"/>
      <c r="S558" s="39">
        <f t="shared" si="327"/>
        <v>-1459</v>
      </c>
      <c r="T558" s="141"/>
      <c r="U558" s="141"/>
      <c r="V558" s="46">
        <f t="shared" si="328"/>
        <v>-1459</v>
      </c>
      <c r="W558" s="143"/>
    </row>
    <row r="559" spans="1:23" ht="15.75" customHeight="1">
      <c r="A559" s="87"/>
      <c r="B559" s="77">
        <f ca="1">IFERROR(__xludf.DUMMYFUNCTION("DATE(VALUE(LEFT($B$2,4)),VALUE(MID($B$2,6,2)),VALUE(RIGHT($B$2,2)))
+ (VALUE(REGEXEXTRACT(INDIRECT(""A""&amp;ROW()+1),""\d+""))-1)*7
+ INT((COLUMN()-COLUMN($B559))/3)
"),47076)</f>
        <v>47076</v>
      </c>
      <c r="C559" s="81"/>
      <c r="D559" s="82"/>
      <c r="E559" s="77">
        <f ca="1">IFERROR(__xludf.DUMMYFUNCTION("DATE(VALUE(LEFT($B$2,4)),VALUE(MID($B$2,6,2)),VALUE(RIGHT($B$2,2)))
+ (VALUE(REGEXEXTRACT(INDIRECT(""A""&amp;ROW()+1),""\d+""))-1)*7
+ INT((COLUMN()-COLUMN($B559))/3)
"),47077)</f>
        <v>47077</v>
      </c>
      <c r="F559" s="81"/>
      <c r="G559" s="82"/>
      <c r="H559" s="77">
        <f ca="1">IFERROR(__xludf.DUMMYFUNCTION("DATE(VALUE(LEFT($B$2,4)),VALUE(MID($B$2,6,2)),VALUE(RIGHT($B$2,2)))
+ (VALUE(REGEXEXTRACT(INDIRECT(""A""&amp;ROW()+1),""\d+""))-1)*7
+ INT((COLUMN()-COLUMN($B559))/3)
"),47078)</f>
        <v>47078</v>
      </c>
      <c r="I559" s="81"/>
      <c r="J559" s="82"/>
      <c r="K559" s="77">
        <f ca="1">IFERROR(__xludf.DUMMYFUNCTION("DATE(VALUE(LEFT($B$2,4)),VALUE(MID($B$2,6,2)),VALUE(RIGHT($B$2,2)))
+ (VALUE(REGEXEXTRACT(INDIRECT(""A""&amp;ROW()+1),""\d+""))-1)*7
+ INT((COLUMN()-COLUMN($B559))/3)
"),47079)</f>
        <v>47079</v>
      </c>
      <c r="L559" s="81"/>
      <c r="M559" s="82"/>
      <c r="N559" s="77">
        <f ca="1">IFERROR(__xludf.DUMMYFUNCTION("DATE(VALUE(LEFT($B$2,4)),VALUE(MID($B$2,6,2)),VALUE(RIGHT($B$2,2)))
+ (VALUE(REGEXEXTRACT(INDIRECT(""A""&amp;ROW()+1),""\d+""))-1)*7
+ INT((COLUMN()-COLUMN($B559))/3)
"),47080)</f>
        <v>47080</v>
      </c>
      <c r="O559" s="81"/>
      <c r="P559" s="82"/>
      <c r="Q559" s="77">
        <f ca="1">IFERROR(__xludf.DUMMYFUNCTION("DATE(VALUE(LEFT($B$2,4)),VALUE(MID($B$2,6,2)),VALUE(RIGHT($B$2,2)))
+ (VALUE(REGEXEXTRACT(INDIRECT(""A""&amp;ROW()+1),""\d+""))-1)*7
+ INT((COLUMN()-COLUMN($B559))/3)
"),47081)</f>
        <v>47081</v>
      </c>
      <c r="R559" s="81"/>
      <c r="S559" s="82"/>
      <c r="T559" s="77">
        <f ca="1">IFERROR(__xludf.DUMMYFUNCTION("DATE(VALUE(LEFT($B$2,4)),VALUE(MID($B$2,6,2)),VALUE(RIGHT($B$2,2)))
+ (VALUE(REGEXEXTRACT(INDIRECT(""A""&amp;ROW()+1),""\d+""))-1)*7
+ INT((COLUMN()-COLUMN($B559))/3)
"),47082)</f>
        <v>47082</v>
      </c>
      <c r="U559" s="81"/>
      <c r="V559" s="82"/>
      <c r="W559" s="143"/>
    </row>
    <row r="560" spans="1:23" ht="15.75" customHeight="1">
      <c r="A560" s="51" t="s">
        <v>176</v>
      </c>
      <c r="B560" s="112"/>
      <c r="C560" s="111"/>
      <c r="D560" s="17">
        <f>V558+C560</f>
        <v>-1459</v>
      </c>
      <c r="E560" s="109"/>
      <c r="F560" s="109"/>
      <c r="G560" s="42">
        <f>D570+F560</f>
        <v>-1459</v>
      </c>
      <c r="H560" s="112"/>
      <c r="I560" s="111"/>
      <c r="J560" s="17">
        <f>G570+I560</f>
        <v>-1459</v>
      </c>
      <c r="K560" s="109"/>
      <c r="L560" s="109"/>
      <c r="M560" s="35">
        <f>J570+L560</f>
        <v>-1459</v>
      </c>
      <c r="N560" s="112"/>
      <c r="O560" s="111"/>
      <c r="P560" s="17">
        <f>M570+O560</f>
        <v>-1459</v>
      </c>
      <c r="Q560" s="109"/>
      <c r="R560" s="109"/>
      <c r="S560" s="35">
        <f>P570+R560</f>
        <v>-1459</v>
      </c>
      <c r="T560" s="112"/>
      <c r="U560" s="111"/>
      <c r="V560" s="48">
        <f>S570+U560</f>
        <v>-1459</v>
      </c>
      <c r="W560" s="143"/>
    </row>
    <row r="561" spans="1:23" ht="15.75" customHeight="1">
      <c r="A561" s="114"/>
      <c r="B561" s="106"/>
      <c r="C561" s="107"/>
      <c r="D561" s="26">
        <f t="shared" ref="D561:D570" si="329">D560+C561</f>
        <v>-1459</v>
      </c>
      <c r="E561" s="117"/>
      <c r="F561" s="117"/>
      <c r="G561" s="19">
        <f t="shared" ref="G561:G570" si="330">G560+F561</f>
        <v>-1459</v>
      </c>
      <c r="H561" s="106"/>
      <c r="I561" s="107"/>
      <c r="J561" s="26">
        <f t="shared" ref="J561:J570" si="331">J560+I561</f>
        <v>-1459</v>
      </c>
      <c r="K561" s="117"/>
      <c r="L561" s="117"/>
      <c r="M561" s="38">
        <f t="shared" ref="M561:M570" si="332">M560+L561</f>
        <v>-1459</v>
      </c>
      <c r="N561" s="106"/>
      <c r="O561" s="107"/>
      <c r="P561" s="26">
        <f t="shared" ref="P561:P570" si="333">P560+O561</f>
        <v>-1459</v>
      </c>
      <c r="Q561" s="117"/>
      <c r="R561" s="117"/>
      <c r="S561" s="38">
        <f t="shared" ref="S561:S570" si="334">S560+R561</f>
        <v>-1459</v>
      </c>
      <c r="T561" s="106"/>
      <c r="U561" s="107"/>
      <c r="V561" s="20">
        <f t="shared" ref="V561:V570" si="335">V560+U561</f>
        <v>-1459</v>
      </c>
      <c r="W561" s="143"/>
    </row>
    <row r="562" spans="1:23" ht="15.75" customHeight="1">
      <c r="A562" s="114"/>
      <c r="B562" s="106"/>
      <c r="C562" s="107"/>
      <c r="D562" s="26">
        <f t="shared" si="329"/>
        <v>-1459</v>
      </c>
      <c r="E562" s="117"/>
      <c r="F562" s="117"/>
      <c r="G562" s="19">
        <f t="shared" si="330"/>
        <v>-1459</v>
      </c>
      <c r="H562" s="106"/>
      <c r="I562" s="107"/>
      <c r="J562" s="26">
        <f t="shared" si="331"/>
        <v>-1459</v>
      </c>
      <c r="K562" s="117"/>
      <c r="L562" s="117"/>
      <c r="M562" s="38">
        <f t="shared" si="332"/>
        <v>-1459</v>
      </c>
      <c r="N562" s="106"/>
      <c r="O562" s="107"/>
      <c r="P562" s="26">
        <f t="shared" si="333"/>
        <v>-1459</v>
      </c>
      <c r="Q562" s="117"/>
      <c r="R562" s="117"/>
      <c r="S562" s="38">
        <f t="shared" si="334"/>
        <v>-1459</v>
      </c>
      <c r="T562" s="106"/>
      <c r="U562" s="116"/>
      <c r="V562" s="20">
        <f t="shared" si="335"/>
        <v>-1459</v>
      </c>
      <c r="W562" s="143"/>
    </row>
    <row r="563" spans="1:23" ht="15.75" customHeight="1">
      <c r="A563" s="114"/>
      <c r="B563" s="106"/>
      <c r="C563" s="107"/>
      <c r="D563" s="26">
        <f t="shared" si="329"/>
        <v>-1459</v>
      </c>
      <c r="E563" s="117"/>
      <c r="F563" s="117"/>
      <c r="G563" s="19">
        <f t="shared" si="330"/>
        <v>-1459</v>
      </c>
      <c r="H563" s="106"/>
      <c r="I563" s="107"/>
      <c r="J563" s="26">
        <f t="shared" si="331"/>
        <v>-1459</v>
      </c>
      <c r="K563" s="117"/>
      <c r="L563" s="117"/>
      <c r="M563" s="38">
        <f t="shared" si="332"/>
        <v>-1459</v>
      </c>
      <c r="N563" s="106"/>
      <c r="O563" s="107"/>
      <c r="P563" s="26">
        <f t="shared" si="333"/>
        <v>-1459</v>
      </c>
      <c r="Q563" s="117"/>
      <c r="R563" s="117"/>
      <c r="S563" s="38">
        <f t="shared" si="334"/>
        <v>-1459</v>
      </c>
      <c r="T563" s="106"/>
      <c r="U563" s="116"/>
      <c r="V563" s="20">
        <f t="shared" si="335"/>
        <v>-1459</v>
      </c>
      <c r="W563" s="143"/>
    </row>
    <row r="564" spans="1:23" ht="15.75" customHeight="1">
      <c r="A564" s="114"/>
      <c r="B564" s="106"/>
      <c r="C564" s="107"/>
      <c r="D564" s="26">
        <f t="shared" si="329"/>
        <v>-1459</v>
      </c>
      <c r="E564" s="117"/>
      <c r="F564" s="117"/>
      <c r="G564" s="19">
        <f t="shared" si="330"/>
        <v>-1459</v>
      </c>
      <c r="H564" s="106"/>
      <c r="I564" s="107"/>
      <c r="J564" s="26">
        <f t="shared" si="331"/>
        <v>-1459</v>
      </c>
      <c r="K564" s="117"/>
      <c r="L564" s="117"/>
      <c r="M564" s="38">
        <f t="shared" si="332"/>
        <v>-1459</v>
      </c>
      <c r="N564" s="106"/>
      <c r="O564" s="107"/>
      <c r="P564" s="26">
        <f t="shared" si="333"/>
        <v>-1459</v>
      </c>
      <c r="Q564" s="117"/>
      <c r="R564" s="117"/>
      <c r="S564" s="38">
        <f t="shared" si="334"/>
        <v>-1459</v>
      </c>
      <c r="T564" s="106"/>
      <c r="U564" s="116"/>
      <c r="V564" s="20">
        <f t="shared" si="335"/>
        <v>-1459</v>
      </c>
      <c r="W564" s="143"/>
    </row>
    <row r="565" spans="1:23" ht="15.75" customHeight="1">
      <c r="A565" s="114"/>
      <c r="B565" s="106"/>
      <c r="C565" s="107"/>
      <c r="D565" s="26">
        <f t="shared" si="329"/>
        <v>-1459</v>
      </c>
      <c r="E565" s="117"/>
      <c r="F565" s="117"/>
      <c r="G565" s="19">
        <f t="shared" si="330"/>
        <v>-1459</v>
      </c>
      <c r="H565" s="106"/>
      <c r="I565" s="107"/>
      <c r="J565" s="26">
        <f t="shared" si="331"/>
        <v>-1459</v>
      </c>
      <c r="K565" s="117"/>
      <c r="L565" s="117"/>
      <c r="M565" s="38">
        <f t="shared" si="332"/>
        <v>-1459</v>
      </c>
      <c r="N565" s="106"/>
      <c r="O565" s="107"/>
      <c r="P565" s="26">
        <f t="shared" si="333"/>
        <v>-1459</v>
      </c>
      <c r="Q565" s="117"/>
      <c r="R565" s="117"/>
      <c r="S565" s="38">
        <f t="shared" si="334"/>
        <v>-1459</v>
      </c>
      <c r="T565" s="106"/>
      <c r="U565" s="116"/>
      <c r="V565" s="20">
        <f t="shared" si="335"/>
        <v>-1459</v>
      </c>
      <c r="W565" s="143"/>
    </row>
    <row r="566" spans="1:23" ht="15.75" customHeight="1">
      <c r="A566" s="114"/>
      <c r="B566" s="106"/>
      <c r="C566" s="107"/>
      <c r="D566" s="26">
        <f t="shared" si="329"/>
        <v>-1459</v>
      </c>
      <c r="E566" s="117"/>
      <c r="F566" s="117"/>
      <c r="G566" s="19">
        <f t="shared" si="330"/>
        <v>-1459</v>
      </c>
      <c r="H566" s="106"/>
      <c r="I566" s="107"/>
      <c r="J566" s="26">
        <f t="shared" si="331"/>
        <v>-1459</v>
      </c>
      <c r="K566" s="117"/>
      <c r="L566" s="117"/>
      <c r="M566" s="38">
        <f t="shared" si="332"/>
        <v>-1459</v>
      </c>
      <c r="N566" s="106"/>
      <c r="O566" s="107"/>
      <c r="P566" s="26">
        <f t="shared" si="333"/>
        <v>-1459</v>
      </c>
      <c r="Q566" s="117"/>
      <c r="R566" s="117"/>
      <c r="S566" s="38">
        <f t="shared" si="334"/>
        <v>-1459</v>
      </c>
      <c r="T566" s="106"/>
      <c r="U566" s="116"/>
      <c r="V566" s="20">
        <f t="shared" si="335"/>
        <v>-1459</v>
      </c>
      <c r="W566" s="143"/>
    </row>
    <row r="567" spans="1:23" ht="15.75" customHeight="1">
      <c r="A567" s="114"/>
      <c r="B567" s="106"/>
      <c r="C567" s="107"/>
      <c r="D567" s="26">
        <f t="shared" si="329"/>
        <v>-1459</v>
      </c>
      <c r="E567" s="117"/>
      <c r="F567" s="117"/>
      <c r="G567" s="19">
        <f t="shared" si="330"/>
        <v>-1459</v>
      </c>
      <c r="H567" s="106"/>
      <c r="I567" s="107"/>
      <c r="J567" s="26">
        <f t="shared" si="331"/>
        <v>-1459</v>
      </c>
      <c r="K567" s="117"/>
      <c r="L567" s="117"/>
      <c r="M567" s="38">
        <f t="shared" si="332"/>
        <v>-1459</v>
      </c>
      <c r="N567" s="106"/>
      <c r="O567" s="107"/>
      <c r="P567" s="26">
        <f t="shared" si="333"/>
        <v>-1459</v>
      </c>
      <c r="Q567" s="117"/>
      <c r="R567" s="117"/>
      <c r="S567" s="38">
        <f t="shared" si="334"/>
        <v>-1459</v>
      </c>
      <c r="T567" s="106"/>
      <c r="U567" s="116"/>
      <c r="V567" s="20">
        <f t="shared" si="335"/>
        <v>-1459</v>
      </c>
      <c r="W567" s="143"/>
    </row>
    <row r="568" spans="1:23" ht="15.75" customHeight="1">
      <c r="A568" s="114"/>
      <c r="B568" s="122"/>
      <c r="C568" s="123"/>
      <c r="D568" s="26">
        <f t="shared" si="329"/>
        <v>-1459</v>
      </c>
      <c r="E568" s="117"/>
      <c r="F568" s="117"/>
      <c r="G568" s="19">
        <f t="shared" si="330"/>
        <v>-1459</v>
      </c>
      <c r="H568" s="122"/>
      <c r="I568" s="123"/>
      <c r="J568" s="26">
        <f t="shared" si="331"/>
        <v>-1459</v>
      </c>
      <c r="K568" s="117"/>
      <c r="L568" s="117"/>
      <c r="M568" s="38">
        <f t="shared" si="332"/>
        <v>-1459</v>
      </c>
      <c r="N568" s="122"/>
      <c r="O568" s="123"/>
      <c r="P568" s="26">
        <f t="shared" si="333"/>
        <v>-1459</v>
      </c>
      <c r="Q568" s="117"/>
      <c r="R568" s="117"/>
      <c r="S568" s="38">
        <f t="shared" si="334"/>
        <v>-1459</v>
      </c>
      <c r="T568" s="106"/>
      <c r="U568" s="116"/>
      <c r="V568" s="20">
        <f t="shared" si="335"/>
        <v>-1459</v>
      </c>
      <c r="W568" s="143"/>
    </row>
    <row r="569" spans="1:23" ht="15.75" customHeight="1">
      <c r="A569" s="114"/>
      <c r="B569" s="122"/>
      <c r="C569" s="123"/>
      <c r="D569" s="26">
        <f t="shared" si="329"/>
        <v>-1459</v>
      </c>
      <c r="E569" s="117"/>
      <c r="F569" s="117"/>
      <c r="G569" s="19">
        <f t="shared" si="330"/>
        <v>-1459</v>
      </c>
      <c r="H569" s="122"/>
      <c r="I569" s="123"/>
      <c r="J569" s="26">
        <f t="shared" si="331"/>
        <v>-1459</v>
      </c>
      <c r="K569" s="117"/>
      <c r="L569" s="117"/>
      <c r="M569" s="38">
        <f t="shared" si="332"/>
        <v>-1459</v>
      </c>
      <c r="N569" s="122"/>
      <c r="O569" s="123"/>
      <c r="P569" s="26">
        <f t="shared" si="333"/>
        <v>-1459</v>
      </c>
      <c r="Q569" s="117"/>
      <c r="R569" s="117"/>
      <c r="S569" s="38">
        <f t="shared" si="334"/>
        <v>-1459</v>
      </c>
      <c r="T569" s="122"/>
      <c r="U569" s="124"/>
      <c r="V569" s="20">
        <f t="shared" si="335"/>
        <v>-1459</v>
      </c>
      <c r="W569" s="143"/>
    </row>
    <row r="570" spans="1:23" ht="15.75" customHeight="1">
      <c r="A570" s="114"/>
      <c r="B570" s="122"/>
      <c r="C570" s="123"/>
      <c r="D570" s="39">
        <f t="shared" si="329"/>
        <v>-1459</v>
      </c>
      <c r="E570" s="128"/>
      <c r="F570" s="128"/>
      <c r="G570" s="29">
        <f t="shared" si="330"/>
        <v>-1459</v>
      </c>
      <c r="H570" s="122"/>
      <c r="I570" s="123"/>
      <c r="J570" s="39">
        <f t="shared" si="331"/>
        <v>-1459</v>
      </c>
      <c r="K570" s="128"/>
      <c r="L570" s="128"/>
      <c r="M570" s="40">
        <f t="shared" si="332"/>
        <v>-1459</v>
      </c>
      <c r="N570" s="122"/>
      <c r="O570" s="123"/>
      <c r="P570" s="39">
        <f t="shared" si="333"/>
        <v>-1459</v>
      </c>
      <c r="Q570" s="128"/>
      <c r="R570" s="128"/>
      <c r="S570" s="40">
        <f t="shared" si="334"/>
        <v>-1459</v>
      </c>
      <c r="T570" s="122"/>
      <c r="U570" s="123"/>
      <c r="V570" s="49">
        <f t="shared" si="335"/>
        <v>-1459</v>
      </c>
      <c r="W570" s="143"/>
    </row>
    <row r="571" spans="1:23" ht="15.75" customHeight="1">
      <c r="A571" s="87"/>
      <c r="B571" s="77">
        <f ca="1">IFERROR(__xludf.DUMMYFUNCTION("DATE(VALUE(LEFT($B$2,4)),VALUE(MID($B$2,6,2)),VALUE(RIGHT($B$2,2)))
+ (VALUE(REGEXEXTRACT(INDIRECT(""A""&amp;ROW()+1),""\d+""))-1)*7
+ INT((COLUMN()-COLUMN($B571))/3)
"),47083)</f>
        <v>47083</v>
      </c>
      <c r="C571" s="81"/>
      <c r="D571" s="82"/>
      <c r="E571" s="77">
        <f ca="1">IFERROR(__xludf.DUMMYFUNCTION("DATE(VALUE(LEFT($B$2,4)),VALUE(MID($B$2,6,2)),VALUE(RIGHT($B$2,2)))
+ (VALUE(REGEXEXTRACT(INDIRECT(""A""&amp;ROW()+1),""\d+""))-1)*7
+ INT((COLUMN()-COLUMN($B571))/3)
"),47084)</f>
        <v>47084</v>
      </c>
      <c r="F571" s="81"/>
      <c r="G571" s="82"/>
      <c r="H571" s="77">
        <f ca="1">IFERROR(__xludf.DUMMYFUNCTION("DATE(VALUE(LEFT($B$2,4)),VALUE(MID($B$2,6,2)),VALUE(RIGHT($B$2,2)))
+ (VALUE(REGEXEXTRACT(INDIRECT(""A""&amp;ROW()+1),""\d+""))-1)*7
+ INT((COLUMN()-COLUMN($B571))/3)
"),47085)</f>
        <v>47085</v>
      </c>
      <c r="I571" s="81"/>
      <c r="J571" s="82"/>
      <c r="K571" s="77">
        <f ca="1">IFERROR(__xludf.DUMMYFUNCTION("DATE(VALUE(LEFT($B$2,4)),VALUE(MID($B$2,6,2)),VALUE(RIGHT($B$2,2)))
+ (VALUE(REGEXEXTRACT(INDIRECT(""A""&amp;ROW()+1),""\d+""))-1)*7
+ INT((COLUMN()-COLUMN($B571))/3)
"),47086)</f>
        <v>47086</v>
      </c>
      <c r="L571" s="81"/>
      <c r="M571" s="82"/>
      <c r="N571" s="77">
        <f ca="1">IFERROR(__xludf.DUMMYFUNCTION("DATE(VALUE(LEFT($B$2,4)),VALUE(MID($B$2,6,2)),VALUE(RIGHT($B$2,2)))
+ (VALUE(REGEXEXTRACT(INDIRECT(""A""&amp;ROW()+1),""\d+""))-1)*7
+ INT((COLUMN()-COLUMN($B571))/3)
"),47087)</f>
        <v>47087</v>
      </c>
      <c r="O571" s="81"/>
      <c r="P571" s="82"/>
      <c r="Q571" s="77">
        <f ca="1">IFERROR(__xludf.DUMMYFUNCTION("DATE(VALUE(LEFT($B$2,4)),VALUE(MID($B$2,6,2)),VALUE(RIGHT($B$2,2)))
+ (VALUE(REGEXEXTRACT(INDIRECT(""A""&amp;ROW()+1),""\d+""))-1)*7
+ INT((COLUMN()-COLUMN($B571))/3)
"),47088)</f>
        <v>47088</v>
      </c>
      <c r="R571" s="81"/>
      <c r="S571" s="82"/>
      <c r="T571" s="77">
        <f ca="1">IFERROR(__xludf.DUMMYFUNCTION("DATE(VALUE(LEFT($B$2,4)),VALUE(MID($B$2,6,2)),VALUE(RIGHT($B$2,2)))
+ (VALUE(REGEXEXTRACT(INDIRECT(""A""&amp;ROW()+1),""\d+""))-1)*7
+ INT((COLUMN()-COLUMN($B571))/3)
"),47089)</f>
        <v>47089</v>
      </c>
      <c r="U571" s="81"/>
      <c r="V571" s="82"/>
      <c r="W571" s="52" t="s">
        <v>20</v>
      </c>
    </row>
    <row r="572" spans="1:23" ht="15.75" customHeight="1">
      <c r="A572" s="47" t="s">
        <v>177</v>
      </c>
      <c r="B572" s="113"/>
      <c r="C572" s="109"/>
      <c r="D572" s="42">
        <f>V570+C572</f>
        <v>-1459</v>
      </c>
      <c r="E572" s="112"/>
      <c r="F572" s="111"/>
      <c r="G572" s="36">
        <f>D582+F572</f>
        <v>-1459</v>
      </c>
      <c r="H572" s="109"/>
      <c r="I572" s="109"/>
      <c r="J572" s="42">
        <f>G582+I572</f>
        <v>-1459</v>
      </c>
      <c r="K572" s="112"/>
      <c r="L572" s="111"/>
      <c r="M572" s="18">
        <f>J582+L572</f>
        <v>-1459</v>
      </c>
      <c r="N572" s="113"/>
      <c r="O572" s="109"/>
      <c r="P572" s="35">
        <f>M582+O572</f>
        <v>-1459</v>
      </c>
      <c r="Q572" s="112"/>
      <c r="R572" s="111"/>
      <c r="S572" s="36">
        <f>P582+R572</f>
        <v>-1459</v>
      </c>
      <c r="T572" s="176"/>
      <c r="U572" s="173"/>
      <c r="V572" s="50">
        <f>S582+U572</f>
        <v>-1459</v>
      </c>
      <c r="W572" s="172"/>
    </row>
    <row r="573" spans="1:23" ht="15.75" customHeight="1">
      <c r="A573" s="114"/>
      <c r="B573" s="118"/>
      <c r="C573" s="117"/>
      <c r="D573" s="19">
        <f t="shared" ref="D573:D582" si="336">D572+C573</f>
        <v>-1459</v>
      </c>
      <c r="E573" s="106"/>
      <c r="F573" s="107"/>
      <c r="G573" s="26">
        <f t="shared" ref="G573:G582" si="337">G572+F573</f>
        <v>-1459</v>
      </c>
      <c r="H573" s="117"/>
      <c r="I573" s="117"/>
      <c r="J573" s="19">
        <f t="shared" ref="J573:J582" si="338">J572+I573</f>
        <v>-1459</v>
      </c>
      <c r="K573" s="106"/>
      <c r="L573" s="107"/>
      <c r="M573" s="26">
        <f t="shared" ref="M573:M582" si="339">M572+L573</f>
        <v>-1459</v>
      </c>
      <c r="N573" s="118"/>
      <c r="O573" s="117"/>
      <c r="P573" s="38">
        <f t="shared" ref="P573:P582" si="340">P572+O573</f>
        <v>-1459</v>
      </c>
      <c r="Q573" s="106"/>
      <c r="R573" s="107"/>
      <c r="S573" s="26">
        <f t="shared" ref="S573:S582" si="341">S572+R573</f>
        <v>-1459</v>
      </c>
      <c r="T573" s="177"/>
      <c r="U573" s="136"/>
      <c r="V573" s="45">
        <f t="shared" ref="V573:V582" si="342">V572+U573</f>
        <v>-1459</v>
      </c>
      <c r="W573" s="143"/>
    </row>
    <row r="574" spans="1:23" ht="15.75" customHeight="1">
      <c r="A574" s="114"/>
      <c r="B574" s="118"/>
      <c r="C574" s="117"/>
      <c r="D574" s="19">
        <f t="shared" si="336"/>
        <v>-1459</v>
      </c>
      <c r="E574" s="106"/>
      <c r="F574" s="107"/>
      <c r="G574" s="26">
        <f t="shared" si="337"/>
        <v>-1459</v>
      </c>
      <c r="H574" s="117"/>
      <c r="I574" s="117"/>
      <c r="J574" s="19">
        <f t="shared" si="338"/>
        <v>-1459</v>
      </c>
      <c r="K574" s="106"/>
      <c r="L574" s="107"/>
      <c r="M574" s="26">
        <f t="shared" si="339"/>
        <v>-1459</v>
      </c>
      <c r="N574" s="117"/>
      <c r="O574" s="117"/>
      <c r="P574" s="38">
        <f t="shared" si="340"/>
        <v>-1459</v>
      </c>
      <c r="Q574" s="106"/>
      <c r="R574" s="107"/>
      <c r="S574" s="26">
        <f t="shared" si="341"/>
        <v>-1459</v>
      </c>
      <c r="T574" s="136"/>
      <c r="U574" s="136"/>
      <c r="V574" s="45">
        <f t="shared" si="342"/>
        <v>-1459</v>
      </c>
      <c r="W574" s="143"/>
    </row>
    <row r="575" spans="1:23" ht="15.75" customHeight="1">
      <c r="A575" s="114"/>
      <c r="B575" s="118"/>
      <c r="C575" s="117"/>
      <c r="D575" s="19">
        <f t="shared" si="336"/>
        <v>-1459</v>
      </c>
      <c r="E575" s="106"/>
      <c r="F575" s="107"/>
      <c r="G575" s="26">
        <f t="shared" si="337"/>
        <v>-1459</v>
      </c>
      <c r="H575" s="117"/>
      <c r="I575" s="117"/>
      <c r="J575" s="19">
        <f t="shared" si="338"/>
        <v>-1459</v>
      </c>
      <c r="K575" s="106"/>
      <c r="L575" s="107"/>
      <c r="M575" s="26">
        <f t="shared" si="339"/>
        <v>-1459</v>
      </c>
      <c r="N575" s="117"/>
      <c r="O575" s="117"/>
      <c r="P575" s="38">
        <f t="shared" si="340"/>
        <v>-1459</v>
      </c>
      <c r="Q575" s="106"/>
      <c r="R575" s="107"/>
      <c r="S575" s="26">
        <f t="shared" si="341"/>
        <v>-1459</v>
      </c>
      <c r="T575" s="136"/>
      <c r="U575" s="136"/>
      <c r="V575" s="45">
        <f t="shared" si="342"/>
        <v>-1459</v>
      </c>
      <c r="W575" s="143"/>
    </row>
    <row r="576" spans="1:23" ht="15.75" customHeight="1">
      <c r="A576" s="114"/>
      <c r="B576" s="118"/>
      <c r="C576" s="117"/>
      <c r="D576" s="19">
        <f t="shared" si="336"/>
        <v>-1459</v>
      </c>
      <c r="E576" s="106"/>
      <c r="F576" s="107"/>
      <c r="G576" s="26">
        <f t="shared" si="337"/>
        <v>-1459</v>
      </c>
      <c r="H576" s="117"/>
      <c r="I576" s="117"/>
      <c r="J576" s="19">
        <f t="shared" si="338"/>
        <v>-1459</v>
      </c>
      <c r="K576" s="106"/>
      <c r="L576" s="107"/>
      <c r="M576" s="26">
        <f t="shared" si="339"/>
        <v>-1459</v>
      </c>
      <c r="N576" s="117"/>
      <c r="O576" s="117"/>
      <c r="P576" s="38">
        <f t="shared" si="340"/>
        <v>-1459</v>
      </c>
      <c r="Q576" s="106"/>
      <c r="R576" s="107"/>
      <c r="S576" s="26">
        <f t="shared" si="341"/>
        <v>-1459</v>
      </c>
      <c r="T576" s="136"/>
      <c r="U576" s="136"/>
      <c r="V576" s="45">
        <f t="shared" si="342"/>
        <v>-1459</v>
      </c>
      <c r="W576" s="143"/>
    </row>
    <row r="577" spans="1:23" ht="15.75" customHeight="1">
      <c r="A577" s="114"/>
      <c r="B577" s="118"/>
      <c r="C577" s="117"/>
      <c r="D577" s="19">
        <f t="shared" si="336"/>
        <v>-1459</v>
      </c>
      <c r="E577" s="106"/>
      <c r="F577" s="107"/>
      <c r="G577" s="26">
        <f t="shared" si="337"/>
        <v>-1459</v>
      </c>
      <c r="H577" s="117"/>
      <c r="I577" s="117"/>
      <c r="J577" s="19">
        <f t="shared" si="338"/>
        <v>-1459</v>
      </c>
      <c r="K577" s="106"/>
      <c r="L577" s="107"/>
      <c r="M577" s="26">
        <f t="shared" si="339"/>
        <v>-1459</v>
      </c>
      <c r="N577" s="117"/>
      <c r="O577" s="117"/>
      <c r="P577" s="38">
        <f t="shared" si="340"/>
        <v>-1459</v>
      </c>
      <c r="Q577" s="106"/>
      <c r="R577" s="107"/>
      <c r="S577" s="26">
        <f t="shared" si="341"/>
        <v>-1459</v>
      </c>
      <c r="T577" s="136"/>
      <c r="U577" s="136"/>
      <c r="V577" s="45">
        <f t="shared" si="342"/>
        <v>-1459</v>
      </c>
      <c r="W577" s="143"/>
    </row>
    <row r="578" spans="1:23" ht="15.75" customHeight="1">
      <c r="A578" s="114"/>
      <c r="B578" s="117"/>
      <c r="C578" s="117"/>
      <c r="D578" s="19">
        <f t="shared" si="336"/>
        <v>-1459</v>
      </c>
      <c r="E578" s="106"/>
      <c r="F578" s="107"/>
      <c r="G578" s="26">
        <f t="shared" si="337"/>
        <v>-1459</v>
      </c>
      <c r="H578" s="117"/>
      <c r="I578" s="117"/>
      <c r="J578" s="19">
        <f t="shared" si="338"/>
        <v>-1459</v>
      </c>
      <c r="K578" s="106"/>
      <c r="L578" s="107"/>
      <c r="M578" s="26">
        <f t="shared" si="339"/>
        <v>-1459</v>
      </c>
      <c r="N578" s="117"/>
      <c r="O578" s="117"/>
      <c r="P578" s="38">
        <f t="shared" si="340"/>
        <v>-1459</v>
      </c>
      <c r="Q578" s="106"/>
      <c r="R578" s="107"/>
      <c r="S578" s="26">
        <f t="shared" si="341"/>
        <v>-1459</v>
      </c>
      <c r="T578" s="136"/>
      <c r="U578" s="136"/>
      <c r="V578" s="45">
        <f t="shared" si="342"/>
        <v>-1459</v>
      </c>
      <c r="W578" s="143"/>
    </row>
    <row r="579" spans="1:23" ht="15.75" customHeight="1">
      <c r="A579" s="114"/>
      <c r="B579" s="117"/>
      <c r="C579" s="117"/>
      <c r="D579" s="19">
        <f t="shared" si="336"/>
        <v>-1459</v>
      </c>
      <c r="E579" s="106"/>
      <c r="F579" s="107"/>
      <c r="G579" s="26">
        <f t="shared" si="337"/>
        <v>-1459</v>
      </c>
      <c r="H579" s="133"/>
      <c r="I579" s="117"/>
      <c r="J579" s="19">
        <f t="shared" si="338"/>
        <v>-1459</v>
      </c>
      <c r="K579" s="106"/>
      <c r="L579" s="107"/>
      <c r="M579" s="26">
        <f t="shared" si="339"/>
        <v>-1459</v>
      </c>
      <c r="N579" s="117"/>
      <c r="O579" s="117"/>
      <c r="P579" s="38">
        <f t="shared" si="340"/>
        <v>-1459</v>
      </c>
      <c r="Q579" s="106"/>
      <c r="R579" s="107"/>
      <c r="S579" s="26">
        <f t="shared" si="341"/>
        <v>-1459</v>
      </c>
      <c r="T579" s="136"/>
      <c r="U579" s="136"/>
      <c r="V579" s="45">
        <f t="shared" si="342"/>
        <v>-1459</v>
      </c>
      <c r="W579" s="143"/>
    </row>
    <row r="580" spans="1:23" ht="15.75" customHeight="1">
      <c r="A580" s="114"/>
      <c r="B580" s="117"/>
      <c r="C580" s="117"/>
      <c r="D580" s="19">
        <f t="shared" si="336"/>
        <v>-1459</v>
      </c>
      <c r="E580" s="106"/>
      <c r="F580" s="107"/>
      <c r="G580" s="26">
        <f t="shared" si="337"/>
        <v>-1459</v>
      </c>
      <c r="H580" s="133"/>
      <c r="I580" s="117"/>
      <c r="J580" s="19">
        <f t="shared" si="338"/>
        <v>-1459</v>
      </c>
      <c r="K580" s="106"/>
      <c r="L580" s="107"/>
      <c r="M580" s="26">
        <f t="shared" si="339"/>
        <v>-1459</v>
      </c>
      <c r="N580" s="117"/>
      <c r="O580" s="117"/>
      <c r="P580" s="38">
        <f t="shared" si="340"/>
        <v>-1459</v>
      </c>
      <c r="Q580" s="106"/>
      <c r="R580" s="107"/>
      <c r="S580" s="26">
        <f t="shared" si="341"/>
        <v>-1459</v>
      </c>
      <c r="T580" s="136"/>
      <c r="U580" s="136"/>
      <c r="V580" s="45">
        <f t="shared" si="342"/>
        <v>-1459</v>
      </c>
      <c r="W580" s="143"/>
    </row>
    <row r="581" spans="1:23" ht="15.75" customHeight="1">
      <c r="A581" s="114"/>
      <c r="B581" s="117"/>
      <c r="C581" s="117"/>
      <c r="D581" s="19">
        <f t="shared" si="336"/>
        <v>-1459</v>
      </c>
      <c r="E581" s="122"/>
      <c r="F581" s="123"/>
      <c r="G581" s="26">
        <f t="shared" si="337"/>
        <v>-1459</v>
      </c>
      <c r="H581" s="133"/>
      <c r="I581" s="117"/>
      <c r="J581" s="19">
        <f t="shared" si="338"/>
        <v>-1459</v>
      </c>
      <c r="K581" s="122"/>
      <c r="L581" s="123"/>
      <c r="M581" s="26">
        <f t="shared" si="339"/>
        <v>-1459</v>
      </c>
      <c r="N581" s="117"/>
      <c r="O581" s="117"/>
      <c r="P581" s="38">
        <f t="shared" si="340"/>
        <v>-1459</v>
      </c>
      <c r="Q581" s="122"/>
      <c r="R581" s="123"/>
      <c r="S581" s="26">
        <f t="shared" si="341"/>
        <v>-1459</v>
      </c>
      <c r="T581" s="136"/>
      <c r="U581" s="136"/>
      <c r="V581" s="45">
        <f t="shared" si="342"/>
        <v>-1459</v>
      </c>
      <c r="W581" s="143"/>
    </row>
    <row r="582" spans="1:23" ht="15.75" customHeight="1">
      <c r="A582" s="114"/>
      <c r="B582" s="128"/>
      <c r="C582" s="128"/>
      <c r="D582" s="29">
        <f t="shared" si="336"/>
        <v>-1459</v>
      </c>
      <c r="E582" s="122"/>
      <c r="F582" s="123"/>
      <c r="G582" s="53">
        <f t="shared" si="337"/>
        <v>-1459</v>
      </c>
      <c r="H582" s="140"/>
      <c r="I582" s="128"/>
      <c r="J582" s="29">
        <f t="shared" si="338"/>
        <v>-1459</v>
      </c>
      <c r="K582" s="122"/>
      <c r="L582" s="123"/>
      <c r="M582" s="39">
        <f t="shared" si="339"/>
        <v>-1459</v>
      </c>
      <c r="N582" s="128"/>
      <c r="O582" s="128"/>
      <c r="P582" s="40">
        <f t="shared" si="340"/>
        <v>-1459</v>
      </c>
      <c r="Q582" s="122"/>
      <c r="R582" s="123"/>
      <c r="S582" s="39">
        <f t="shared" si="341"/>
        <v>-1459</v>
      </c>
      <c r="T582" s="141"/>
      <c r="U582" s="141"/>
      <c r="V582" s="46">
        <f t="shared" si="342"/>
        <v>-1459</v>
      </c>
      <c r="W582" s="143"/>
    </row>
    <row r="583" spans="1:23" ht="15.75" customHeight="1">
      <c r="A583" s="87"/>
      <c r="B583" s="77">
        <f ca="1">IFERROR(__xludf.DUMMYFUNCTION("DATE(VALUE(LEFT($B$2,4)),VALUE(MID($B$2,6,2)),VALUE(RIGHT($B$2,2)))
+ (VALUE(REGEXEXTRACT(INDIRECT(""A""&amp;ROW()+1),""\d+""))-1)*7
+ INT((COLUMN()-COLUMN($B583))/3)
"),47090)</f>
        <v>47090</v>
      </c>
      <c r="C583" s="81"/>
      <c r="D583" s="82"/>
      <c r="E583" s="77">
        <f ca="1">IFERROR(__xludf.DUMMYFUNCTION("DATE(VALUE(LEFT($B$2,4)),VALUE(MID($B$2,6,2)),VALUE(RIGHT($B$2,2)))
+ (VALUE(REGEXEXTRACT(INDIRECT(""A""&amp;ROW()+1),""\d+""))-1)*7
+ INT((COLUMN()-COLUMN($B583))/3)
"),47091)</f>
        <v>47091</v>
      </c>
      <c r="F583" s="81"/>
      <c r="G583" s="82"/>
      <c r="H583" s="77">
        <f ca="1">IFERROR(__xludf.DUMMYFUNCTION("DATE(VALUE(LEFT($B$2,4)),VALUE(MID($B$2,6,2)),VALUE(RIGHT($B$2,2)))
+ (VALUE(REGEXEXTRACT(INDIRECT(""A""&amp;ROW()+1),""\d+""))-1)*7
+ INT((COLUMN()-COLUMN($B583))/3)
"),47092)</f>
        <v>47092</v>
      </c>
      <c r="I583" s="81"/>
      <c r="J583" s="82"/>
      <c r="K583" s="77">
        <f ca="1">IFERROR(__xludf.DUMMYFUNCTION("DATE(VALUE(LEFT($B$2,4)),VALUE(MID($B$2,6,2)),VALUE(RIGHT($B$2,2)))
+ (VALUE(REGEXEXTRACT(INDIRECT(""A""&amp;ROW()+1),""\d+""))-1)*7
+ INT((COLUMN()-COLUMN($B583))/3)
"),47093)</f>
        <v>47093</v>
      </c>
      <c r="L583" s="81"/>
      <c r="M583" s="82"/>
      <c r="N583" s="77">
        <f ca="1">IFERROR(__xludf.DUMMYFUNCTION("DATE(VALUE(LEFT($B$2,4)),VALUE(MID($B$2,6,2)),VALUE(RIGHT($B$2,2)))
+ (VALUE(REGEXEXTRACT(INDIRECT(""A""&amp;ROW()+1),""\d+""))-1)*7
+ INT((COLUMN()-COLUMN($B583))/3)
"),47094)</f>
        <v>47094</v>
      </c>
      <c r="O583" s="81"/>
      <c r="P583" s="82"/>
      <c r="Q583" s="77">
        <f ca="1">IFERROR(__xludf.DUMMYFUNCTION("DATE(VALUE(LEFT($B$2,4)),VALUE(MID($B$2,6,2)),VALUE(RIGHT($B$2,2)))
+ (VALUE(REGEXEXTRACT(INDIRECT(""A""&amp;ROW()+1),""\d+""))-1)*7
+ INT((COLUMN()-COLUMN($B583))/3)
"),47095)</f>
        <v>47095</v>
      </c>
      <c r="R583" s="81"/>
      <c r="S583" s="82"/>
      <c r="T583" s="77">
        <f ca="1">IFERROR(__xludf.DUMMYFUNCTION("DATE(VALUE(LEFT($B$2,4)),VALUE(MID($B$2,6,2)),VALUE(RIGHT($B$2,2)))
+ (VALUE(REGEXEXTRACT(INDIRECT(""A""&amp;ROW()+1),""\d+""))-1)*7
+ INT((COLUMN()-COLUMN($B583))/3)
"),47096)</f>
        <v>47096</v>
      </c>
      <c r="U583" s="81"/>
      <c r="V583" s="82"/>
      <c r="W583" s="143"/>
    </row>
    <row r="584" spans="1:23" ht="15.75" customHeight="1">
      <c r="A584" s="51" t="s">
        <v>178</v>
      </c>
      <c r="B584" s="112"/>
      <c r="C584" s="111"/>
      <c r="D584" s="17">
        <f>V582+C584</f>
        <v>-1459</v>
      </c>
      <c r="E584" s="109"/>
      <c r="F584" s="109"/>
      <c r="G584" s="54">
        <f>D594+F584</f>
        <v>-1459</v>
      </c>
      <c r="H584" s="110"/>
      <c r="I584" s="111"/>
      <c r="J584" s="17">
        <f>G594+I584</f>
        <v>-1459</v>
      </c>
      <c r="K584" s="109"/>
      <c r="L584" s="109"/>
      <c r="M584" s="35">
        <f>J594+L584</f>
        <v>-1459</v>
      </c>
      <c r="N584" s="112"/>
      <c r="O584" s="111"/>
      <c r="P584" s="17">
        <f>M594+O584</f>
        <v>-1459</v>
      </c>
      <c r="Q584" s="109"/>
      <c r="R584" s="109"/>
      <c r="S584" s="35">
        <f>P594+R584</f>
        <v>-1459</v>
      </c>
      <c r="T584" s="112"/>
      <c r="U584" s="111"/>
      <c r="V584" s="48">
        <f>S594+U584</f>
        <v>-1459</v>
      </c>
      <c r="W584" s="143"/>
    </row>
    <row r="585" spans="1:23" ht="15.75" customHeight="1">
      <c r="A585" s="114"/>
      <c r="B585" s="106"/>
      <c r="C585" s="107"/>
      <c r="D585" s="26">
        <f t="shared" ref="D585:D594" si="343">D584+C585</f>
        <v>-1459</v>
      </c>
      <c r="E585" s="117"/>
      <c r="F585" s="117"/>
      <c r="G585" s="19">
        <f t="shared" ref="G585:G594" si="344">G584+F585</f>
        <v>-1459</v>
      </c>
      <c r="H585" s="116"/>
      <c r="I585" s="107"/>
      <c r="J585" s="26">
        <f t="shared" ref="J585:J594" si="345">J584+I585</f>
        <v>-1459</v>
      </c>
      <c r="K585" s="117"/>
      <c r="L585" s="117"/>
      <c r="M585" s="38">
        <f t="shared" ref="M585:M594" si="346">M584+L585</f>
        <v>-1459</v>
      </c>
      <c r="N585" s="106"/>
      <c r="O585" s="107"/>
      <c r="P585" s="26">
        <f t="shared" ref="P585:P594" si="347">P584+O585</f>
        <v>-1459</v>
      </c>
      <c r="Q585" s="117"/>
      <c r="R585" s="117"/>
      <c r="S585" s="38">
        <f t="shared" ref="S585:S594" si="348">S584+R585</f>
        <v>-1459</v>
      </c>
      <c r="T585" s="106"/>
      <c r="U585" s="116"/>
      <c r="V585" s="20">
        <f t="shared" ref="V585:V594" si="349">V584+U585</f>
        <v>-1459</v>
      </c>
      <c r="W585" s="143"/>
    </row>
    <row r="586" spans="1:23" ht="15.75" customHeight="1">
      <c r="A586" s="114"/>
      <c r="B586" s="106"/>
      <c r="C586" s="107"/>
      <c r="D586" s="26">
        <f t="shared" si="343"/>
        <v>-1459</v>
      </c>
      <c r="E586" s="117"/>
      <c r="F586" s="117"/>
      <c r="G586" s="19">
        <f t="shared" si="344"/>
        <v>-1459</v>
      </c>
      <c r="H586" s="116"/>
      <c r="I586" s="107"/>
      <c r="J586" s="26">
        <f t="shared" si="345"/>
        <v>-1459</v>
      </c>
      <c r="K586" s="117"/>
      <c r="L586" s="117"/>
      <c r="M586" s="38">
        <f t="shared" si="346"/>
        <v>-1459</v>
      </c>
      <c r="N586" s="106"/>
      <c r="O586" s="107"/>
      <c r="P586" s="26">
        <f t="shared" si="347"/>
        <v>-1459</v>
      </c>
      <c r="Q586" s="117"/>
      <c r="R586" s="117"/>
      <c r="S586" s="38">
        <f t="shared" si="348"/>
        <v>-1459</v>
      </c>
      <c r="T586" s="106"/>
      <c r="U586" s="107"/>
      <c r="V586" s="20">
        <f t="shared" si="349"/>
        <v>-1459</v>
      </c>
      <c r="W586" s="143"/>
    </row>
    <row r="587" spans="1:23" ht="15.75" customHeight="1">
      <c r="A587" s="114"/>
      <c r="B587" s="106"/>
      <c r="C587" s="107"/>
      <c r="D587" s="26">
        <f t="shared" si="343"/>
        <v>-1459</v>
      </c>
      <c r="E587" s="117"/>
      <c r="F587" s="117"/>
      <c r="G587" s="19">
        <f t="shared" si="344"/>
        <v>-1459</v>
      </c>
      <c r="H587" s="116"/>
      <c r="I587" s="107"/>
      <c r="J587" s="26">
        <f t="shared" si="345"/>
        <v>-1459</v>
      </c>
      <c r="K587" s="117"/>
      <c r="L587" s="117"/>
      <c r="M587" s="38">
        <f t="shared" si="346"/>
        <v>-1459</v>
      </c>
      <c r="N587" s="106"/>
      <c r="O587" s="107"/>
      <c r="P587" s="26">
        <f t="shared" si="347"/>
        <v>-1459</v>
      </c>
      <c r="Q587" s="117"/>
      <c r="R587" s="117"/>
      <c r="S587" s="38">
        <f t="shared" si="348"/>
        <v>-1459</v>
      </c>
      <c r="T587" s="106"/>
      <c r="U587" s="107"/>
      <c r="V587" s="20">
        <f t="shared" si="349"/>
        <v>-1459</v>
      </c>
      <c r="W587" s="143"/>
    </row>
    <row r="588" spans="1:23" ht="15.75" customHeight="1">
      <c r="A588" s="114"/>
      <c r="B588" s="106"/>
      <c r="C588" s="107"/>
      <c r="D588" s="26">
        <f t="shared" si="343"/>
        <v>-1459</v>
      </c>
      <c r="E588" s="117"/>
      <c r="F588" s="117"/>
      <c r="G588" s="19">
        <f t="shared" si="344"/>
        <v>-1459</v>
      </c>
      <c r="H588" s="116"/>
      <c r="I588" s="107"/>
      <c r="J588" s="26">
        <f t="shared" si="345"/>
        <v>-1459</v>
      </c>
      <c r="K588" s="117"/>
      <c r="L588" s="117"/>
      <c r="M588" s="38">
        <f t="shared" si="346"/>
        <v>-1459</v>
      </c>
      <c r="N588" s="106"/>
      <c r="O588" s="107"/>
      <c r="P588" s="26">
        <f t="shared" si="347"/>
        <v>-1459</v>
      </c>
      <c r="Q588" s="117"/>
      <c r="R588" s="117"/>
      <c r="S588" s="38">
        <f t="shared" si="348"/>
        <v>-1459</v>
      </c>
      <c r="T588" s="106"/>
      <c r="U588" s="116"/>
      <c r="V588" s="20">
        <f t="shared" si="349"/>
        <v>-1459</v>
      </c>
      <c r="W588" s="143"/>
    </row>
    <row r="589" spans="1:23" ht="15.75" customHeight="1">
      <c r="A589" s="114"/>
      <c r="B589" s="106"/>
      <c r="C589" s="107"/>
      <c r="D589" s="26">
        <f t="shared" si="343"/>
        <v>-1459</v>
      </c>
      <c r="E589" s="117"/>
      <c r="F589" s="117"/>
      <c r="G589" s="19">
        <f t="shared" si="344"/>
        <v>-1459</v>
      </c>
      <c r="H589" s="116"/>
      <c r="I589" s="107"/>
      <c r="J589" s="26">
        <f t="shared" si="345"/>
        <v>-1459</v>
      </c>
      <c r="K589" s="117"/>
      <c r="L589" s="117"/>
      <c r="M589" s="38">
        <f t="shared" si="346"/>
        <v>-1459</v>
      </c>
      <c r="N589" s="106"/>
      <c r="O589" s="107"/>
      <c r="P589" s="26">
        <f t="shared" si="347"/>
        <v>-1459</v>
      </c>
      <c r="Q589" s="117"/>
      <c r="R589" s="117"/>
      <c r="S589" s="38">
        <f t="shared" si="348"/>
        <v>-1459</v>
      </c>
      <c r="T589" s="106"/>
      <c r="U589" s="116"/>
      <c r="V589" s="20">
        <f t="shared" si="349"/>
        <v>-1459</v>
      </c>
      <c r="W589" s="143"/>
    </row>
    <row r="590" spans="1:23" ht="15.75" customHeight="1">
      <c r="A590" s="114"/>
      <c r="B590" s="106"/>
      <c r="C590" s="107"/>
      <c r="D590" s="26">
        <f t="shared" si="343"/>
        <v>-1459</v>
      </c>
      <c r="E590" s="117"/>
      <c r="F590" s="117"/>
      <c r="G590" s="19">
        <f t="shared" si="344"/>
        <v>-1459</v>
      </c>
      <c r="H590" s="116"/>
      <c r="I590" s="107"/>
      <c r="J590" s="26">
        <f t="shared" si="345"/>
        <v>-1459</v>
      </c>
      <c r="K590" s="117"/>
      <c r="L590" s="117"/>
      <c r="M590" s="38">
        <f t="shared" si="346"/>
        <v>-1459</v>
      </c>
      <c r="N590" s="106"/>
      <c r="O590" s="107"/>
      <c r="P590" s="26">
        <f t="shared" si="347"/>
        <v>-1459</v>
      </c>
      <c r="Q590" s="117"/>
      <c r="R590" s="117"/>
      <c r="S590" s="38">
        <f t="shared" si="348"/>
        <v>-1459</v>
      </c>
      <c r="T590" s="106"/>
      <c r="U590" s="116"/>
      <c r="V590" s="20">
        <f t="shared" si="349"/>
        <v>-1459</v>
      </c>
      <c r="W590" s="143"/>
    </row>
    <row r="591" spans="1:23" ht="15.75" customHeight="1">
      <c r="A591" s="114"/>
      <c r="B591" s="106"/>
      <c r="C591" s="107"/>
      <c r="D591" s="26">
        <f t="shared" si="343"/>
        <v>-1459</v>
      </c>
      <c r="E591" s="117"/>
      <c r="F591" s="117"/>
      <c r="G591" s="19">
        <f t="shared" si="344"/>
        <v>-1459</v>
      </c>
      <c r="H591" s="116"/>
      <c r="I591" s="107"/>
      <c r="J591" s="26">
        <f t="shared" si="345"/>
        <v>-1459</v>
      </c>
      <c r="K591" s="117"/>
      <c r="L591" s="117"/>
      <c r="M591" s="38">
        <f t="shared" si="346"/>
        <v>-1459</v>
      </c>
      <c r="N591" s="106"/>
      <c r="O591" s="107"/>
      <c r="P591" s="26">
        <f t="shared" si="347"/>
        <v>-1459</v>
      </c>
      <c r="Q591" s="117"/>
      <c r="R591" s="117"/>
      <c r="S591" s="38">
        <f t="shared" si="348"/>
        <v>-1459</v>
      </c>
      <c r="T591" s="106"/>
      <c r="U591" s="116"/>
      <c r="V591" s="20">
        <f t="shared" si="349"/>
        <v>-1459</v>
      </c>
      <c r="W591" s="143"/>
    </row>
    <row r="592" spans="1:23" ht="15.75" customHeight="1">
      <c r="A592" s="114"/>
      <c r="B592" s="122"/>
      <c r="C592" s="123"/>
      <c r="D592" s="26">
        <f t="shared" si="343"/>
        <v>-1459</v>
      </c>
      <c r="E592" s="117"/>
      <c r="F592" s="117"/>
      <c r="G592" s="19">
        <f t="shared" si="344"/>
        <v>-1459</v>
      </c>
      <c r="H592" s="124"/>
      <c r="I592" s="123"/>
      <c r="J592" s="26">
        <f t="shared" si="345"/>
        <v>-1459</v>
      </c>
      <c r="K592" s="117"/>
      <c r="L592" s="117"/>
      <c r="M592" s="38">
        <f t="shared" si="346"/>
        <v>-1459</v>
      </c>
      <c r="N592" s="122"/>
      <c r="O592" s="123"/>
      <c r="P592" s="26">
        <f t="shared" si="347"/>
        <v>-1459</v>
      </c>
      <c r="Q592" s="117"/>
      <c r="R592" s="117"/>
      <c r="S592" s="38">
        <f t="shared" si="348"/>
        <v>-1459</v>
      </c>
      <c r="T592" s="106"/>
      <c r="U592" s="116"/>
      <c r="V592" s="20">
        <f t="shared" si="349"/>
        <v>-1459</v>
      </c>
      <c r="W592" s="143"/>
    </row>
    <row r="593" spans="1:23" ht="15.75" customHeight="1">
      <c r="A593" s="114"/>
      <c r="B593" s="122"/>
      <c r="C593" s="123"/>
      <c r="D593" s="26">
        <f t="shared" si="343"/>
        <v>-1459</v>
      </c>
      <c r="E593" s="117"/>
      <c r="F593" s="117"/>
      <c r="G593" s="19">
        <f t="shared" si="344"/>
        <v>-1459</v>
      </c>
      <c r="H593" s="124"/>
      <c r="I593" s="123"/>
      <c r="J593" s="26">
        <f t="shared" si="345"/>
        <v>-1459</v>
      </c>
      <c r="K593" s="117"/>
      <c r="L593" s="117"/>
      <c r="M593" s="38">
        <f t="shared" si="346"/>
        <v>-1459</v>
      </c>
      <c r="N593" s="122"/>
      <c r="O593" s="123"/>
      <c r="P593" s="26">
        <f t="shared" si="347"/>
        <v>-1459</v>
      </c>
      <c r="Q593" s="117"/>
      <c r="R593" s="117"/>
      <c r="S593" s="38">
        <f t="shared" si="348"/>
        <v>-1459</v>
      </c>
      <c r="T593" s="122"/>
      <c r="U593" s="124"/>
      <c r="V593" s="20">
        <f t="shared" si="349"/>
        <v>-1459</v>
      </c>
      <c r="W593" s="143"/>
    </row>
    <row r="594" spans="1:23" ht="15.75" customHeight="1">
      <c r="A594" s="114"/>
      <c r="B594" s="122"/>
      <c r="C594" s="123"/>
      <c r="D594" s="39">
        <f t="shared" si="343"/>
        <v>-1459</v>
      </c>
      <c r="E594" s="128"/>
      <c r="F594" s="128"/>
      <c r="G594" s="55">
        <f t="shared" si="344"/>
        <v>-1459</v>
      </c>
      <c r="H594" s="124"/>
      <c r="I594" s="123"/>
      <c r="J594" s="39">
        <f t="shared" si="345"/>
        <v>-1459</v>
      </c>
      <c r="K594" s="128"/>
      <c r="L594" s="128"/>
      <c r="M594" s="40">
        <f t="shared" si="346"/>
        <v>-1459</v>
      </c>
      <c r="N594" s="122"/>
      <c r="O594" s="123"/>
      <c r="P594" s="39">
        <f t="shared" si="347"/>
        <v>-1459</v>
      </c>
      <c r="Q594" s="128"/>
      <c r="R594" s="128"/>
      <c r="S594" s="40">
        <f t="shared" si="348"/>
        <v>-1459</v>
      </c>
      <c r="T594" s="122"/>
      <c r="U594" s="123"/>
      <c r="V594" s="49">
        <f t="shared" si="349"/>
        <v>-1459</v>
      </c>
      <c r="W594" s="143"/>
    </row>
    <row r="595" spans="1:23" ht="15.75" customHeight="1">
      <c r="A595" s="87"/>
      <c r="B595" s="77">
        <f ca="1">IFERROR(__xludf.DUMMYFUNCTION("DATE(VALUE(LEFT($B$2,4)),VALUE(MID($B$2,6,2)),VALUE(RIGHT($B$2,2)))
+ (VALUE(REGEXEXTRACT(INDIRECT(""A""&amp;ROW()+1),""\d+""))-1)*7
+ INT((COLUMN()-COLUMN($B595))/3)
"),47097)</f>
        <v>47097</v>
      </c>
      <c r="C595" s="81"/>
      <c r="D595" s="82"/>
      <c r="E595" s="77">
        <f ca="1">IFERROR(__xludf.DUMMYFUNCTION("DATE(VALUE(LEFT($B$2,4)),VALUE(MID($B$2,6,2)),VALUE(RIGHT($B$2,2)))
+ (VALUE(REGEXEXTRACT(INDIRECT(""A""&amp;ROW()+1),""\d+""))-1)*7
+ INT((COLUMN()-COLUMN($B595))/3)
"),47098)</f>
        <v>47098</v>
      </c>
      <c r="F595" s="81"/>
      <c r="G595" s="82"/>
      <c r="H595" s="77">
        <f ca="1">IFERROR(__xludf.DUMMYFUNCTION("DATE(VALUE(LEFT($B$2,4)),VALUE(MID($B$2,6,2)),VALUE(RIGHT($B$2,2)))
+ (VALUE(REGEXEXTRACT(INDIRECT(""A""&amp;ROW()+1),""\d+""))-1)*7
+ INT((COLUMN()-COLUMN($B595))/3)
"),47099)</f>
        <v>47099</v>
      </c>
      <c r="I595" s="81"/>
      <c r="J595" s="82"/>
      <c r="K595" s="77">
        <f ca="1">IFERROR(__xludf.DUMMYFUNCTION("DATE(VALUE(LEFT($B$2,4)),VALUE(MID($B$2,6,2)),VALUE(RIGHT($B$2,2)))
+ (VALUE(REGEXEXTRACT(INDIRECT(""A""&amp;ROW()+1),""\d+""))-1)*7
+ INT((COLUMN()-COLUMN($B595))/3)
"),47100)</f>
        <v>47100</v>
      </c>
      <c r="L595" s="81"/>
      <c r="M595" s="82"/>
      <c r="N595" s="77">
        <f ca="1">IFERROR(__xludf.DUMMYFUNCTION("DATE(VALUE(LEFT($B$2,4)),VALUE(MID($B$2,6,2)),VALUE(RIGHT($B$2,2)))
+ (VALUE(REGEXEXTRACT(INDIRECT(""A""&amp;ROW()+1),""\d+""))-1)*7
+ INT((COLUMN()-COLUMN($B595))/3)
"),47101)</f>
        <v>47101</v>
      </c>
      <c r="O595" s="81"/>
      <c r="P595" s="82"/>
      <c r="Q595" s="77">
        <f ca="1">IFERROR(__xludf.DUMMYFUNCTION("DATE(VALUE(LEFT($B$2,4)),VALUE(MID($B$2,6,2)),VALUE(RIGHT($B$2,2)))
+ (VALUE(REGEXEXTRACT(INDIRECT(""A""&amp;ROW()+1),""\d+""))-1)*7
+ INT((COLUMN()-COLUMN($B595))/3)
"),47102)</f>
        <v>47102</v>
      </c>
      <c r="R595" s="81"/>
      <c r="S595" s="82"/>
      <c r="T595" s="77">
        <f ca="1">IFERROR(__xludf.DUMMYFUNCTION("DATE(VALUE(LEFT($B$2,4)),VALUE(MID($B$2,6,2)),VALUE(RIGHT($B$2,2)))
+ (VALUE(REGEXEXTRACT(INDIRECT(""A""&amp;ROW()+1),""\d+""))-1)*7
+ INT((COLUMN()-COLUMN($B595))/3)
"),47103)</f>
        <v>47103</v>
      </c>
      <c r="U595" s="81"/>
      <c r="V595" s="82"/>
      <c r="W595" s="52" t="s">
        <v>20</v>
      </c>
    </row>
    <row r="596" spans="1:23" ht="15.75" customHeight="1">
      <c r="A596" s="47" t="s">
        <v>179</v>
      </c>
      <c r="B596" s="109"/>
      <c r="C596" s="109"/>
      <c r="D596" s="42">
        <f>V594+C596</f>
        <v>-1459</v>
      </c>
      <c r="E596" s="112"/>
      <c r="F596" s="111"/>
      <c r="G596" s="36">
        <f>D606+F596</f>
        <v>-1459</v>
      </c>
      <c r="H596" s="132"/>
      <c r="I596" s="109"/>
      <c r="J596" s="42">
        <f>G606+I596</f>
        <v>-1459</v>
      </c>
      <c r="K596" s="112"/>
      <c r="L596" s="111"/>
      <c r="M596" s="18">
        <f>J606+L596</f>
        <v>-1459</v>
      </c>
      <c r="N596" s="113"/>
      <c r="O596" s="109"/>
      <c r="P596" s="35">
        <f>M606+O596</f>
        <v>-1459</v>
      </c>
      <c r="Q596" s="112"/>
      <c r="R596" s="111"/>
      <c r="S596" s="36">
        <f>P606+R596</f>
        <v>-1459</v>
      </c>
      <c r="T596" s="176"/>
      <c r="U596" s="173"/>
      <c r="V596" s="50">
        <f>S606+U596</f>
        <v>-1459</v>
      </c>
      <c r="W596" s="172"/>
    </row>
    <row r="597" spans="1:23" ht="15.75" customHeight="1">
      <c r="A597" s="114"/>
      <c r="B597" s="117"/>
      <c r="C597" s="117"/>
      <c r="D597" s="19">
        <f t="shared" ref="D597:D606" si="350">D596+C597</f>
        <v>-1459</v>
      </c>
      <c r="E597" s="106"/>
      <c r="F597" s="107"/>
      <c r="G597" s="26">
        <f t="shared" ref="G597:G606" si="351">G596+F597</f>
        <v>-1459</v>
      </c>
      <c r="H597" s="133"/>
      <c r="I597" s="117"/>
      <c r="J597" s="19">
        <f t="shared" ref="J597:J606" si="352">J596+I597</f>
        <v>-1459</v>
      </c>
      <c r="K597" s="106"/>
      <c r="L597" s="107"/>
      <c r="M597" s="26">
        <f t="shared" ref="M597:M606" si="353">M596+L597</f>
        <v>-1459</v>
      </c>
      <c r="N597" s="118"/>
      <c r="O597" s="117"/>
      <c r="P597" s="38">
        <f t="shared" ref="P597:P606" si="354">P596+O597</f>
        <v>-1459</v>
      </c>
      <c r="Q597" s="106"/>
      <c r="R597" s="107"/>
      <c r="S597" s="26">
        <f t="shared" ref="S597:S606" si="355">S596+R597</f>
        <v>-1459</v>
      </c>
      <c r="T597" s="177"/>
      <c r="U597" s="136"/>
      <c r="V597" s="45">
        <f t="shared" ref="V597:V606" si="356">V596+U597</f>
        <v>-1459</v>
      </c>
      <c r="W597" s="143"/>
    </row>
    <row r="598" spans="1:23" ht="15.75" customHeight="1">
      <c r="A598" s="114"/>
      <c r="B598" s="118"/>
      <c r="C598" s="117"/>
      <c r="D598" s="19">
        <f t="shared" si="350"/>
        <v>-1459</v>
      </c>
      <c r="E598" s="106"/>
      <c r="F598" s="107"/>
      <c r="G598" s="26">
        <f t="shared" si="351"/>
        <v>-1459</v>
      </c>
      <c r="H598" s="133"/>
      <c r="I598" s="117"/>
      <c r="J598" s="19">
        <f t="shared" si="352"/>
        <v>-1459</v>
      </c>
      <c r="K598" s="106"/>
      <c r="L598" s="107"/>
      <c r="M598" s="26">
        <f t="shared" si="353"/>
        <v>-1459</v>
      </c>
      <c r="N598" s="117"/>
      <c r="O598" s="117"/>
      <c r="P598" s="38">
        <f t="shared" si="354"/>
        <v>-1459</v>
      </c>
      <c r="Q598" s="106"/>
      <c r="R598" s="107"/>
      <c r="S598" s="26">
        <f t="shared" si="355"/>
        <v>-1459</v>
      </c>
      <c r="T598" s="136"/>
      <c r="U598" s="136"/>
      <c r="V598" s="45">
        <f t="shared" si="356"/>
        <v>-1459</v>
      </c>
      <c r="W598" s="143"/>
    </row>
    <row r="599" spans="1:23" ht="15.75" customHeight="1">
      <c r="A599" s="114"/>
      <c r="B599" s="118"/>
      <c r="C599" s="117"/>
      <c r="D599" s="19">
        <f t="shared" si="350"/>
        <v>-1459</v>
      </c>
      <c r="E599" s="106"/>
      <c r="F599" s="107"/>
      <c r="G599" s="26">
        <f t="shared" si="351"/>
        <v>-1459</v>
      </c>
      <c r="H599" s="133"/>
      <c r="I599" s="117"/>
      <c r="J599" s="19">
        <f t="shared" si="352"/>
        <v>-1459</v>
      </c>
      <c r="K599" s="106"/>
      <c r="L599" s="107"/>
      <c r="M599" s="26">
        <f t="shared" si="353"/>
        <v>-1459</v>
      </c>
      <c r="N599" s="117"/>
      <c r="O599" s="117"/>
      <c r="P599" s="38">
        <f t="shared" si="354"/>
        <v>-1459</v>
      </c>
      <c r="Q599" s="106"/>
      <c r="R599" s="107"/>
      <c r="S599" s="26">
        <f t="shared" si="355"/>
        <v>-1459</v>
      </c>
      <c r="T599" s="136"/>
      <c r="U599" s="136"/>
      <c r="V599" s="45">
        <f t="shared" si="356"/>
        <v>-1459</v>
      </c>
      <c r="W599" s="143"/>
    </row>
    <row r="600" spans="1:23" ht="15.75" customHeight="1">
      <c r="A600" s="114"/>
      <c r="B600" s="118"/>
      <c r="C600" s="117"/>
      <c r="D600" s="19">
        <f t="shared" si="350"/>
        <v>-1459</v>
      </c>
      <c r="E600" s="106"/>
      <c r="F600" s="107"/>
      <c r="G600" s="26">
        <f t="shared" si="351"/>
        <v>-1459</v>
      </c>
      <c r="H600" s="133"/>
      <c r="I600" s="117"/>
      <c r="J600" s="19">
        <f t="shared" si="352"/>
        <v>-1459</v>
      </c>
      <c r="K600" s="106"/>
      <c r="L600" s="107"/>
      <c r="M600" s="26">
        <f t="shared" si="353"/>
        <v>-1459</v>
      </c>
      <c r="N600" s="117"/>
      <c r="O600" s="117"/>
      <c r="P600" s="38">
        <f t="shared" si="354"/>
        <v>-1459</v>
      </c>
      <c r="Q600" s="106"/>
      <c r="R600" s="107"/>
      <c r="S600" s="26">
        <f t="shared" si="355"/>
        <v>-1459</v>
      </c>
      <c r="T600" s="136"/>
      <c r="U600" s="136"/>
      <c r="V600" s="45">
        <f t="shared" si="356"/>
        <v>-1459</v>
      </c>
      <c r="W600" s="143"/>
    </row>
    <row r="601" spans="1:23" ht="15.75" customHeight="1">
      <c r="A601" s="114"/>
      <c r="B601" s="118"/>
      <c r="C601" s="117"/>
      <c r="D601" s="19">
        <f t="shared" si="350"/>
        <v>-1459</v>
      </c>
      <c r="E601" s="106"/>
      <c r="F601" s="107"/>
      <c r="G601" s="26">
        <f t="shared" si="351"/>
        <v>-1459</v>
      </c>
      <c r="H601" s="133"/>
      <c r="I601" s="117"/>
      <c r="J601" s="19">
        <f t="shared" si="352"/>
        <v>-1459</v>
      </c>
      <c r="K601" s="106"/>
      <c r="L601" s="107"/>
      <c r="M601" s="26">
        <f t="shared" si="353"/>
        <v>-1459</v>
      </c>
      <c r="N601" s="117"/>
      <c r="O601" s="117"/>
      <c r="P601" s="38">
        <f t="shared" si="354"/>
        <v>-1459</v>
      </c>
      <c r="Q601" s="106"/>
      <c r="R601" s="107"/>
      <c r="S601" s="26">
        <f t="shared" si="355"/>
        <v>-1459</v>
      </c>
      <c r="T601" s="136"/>
      <c r="U601" s="136"/>
      <c r="V601" s="45">
        <f t="shared" si="356"/>
        <v>-1459</v>
      </c>
      <c r="W601" s="143"/>
    </row>
    <row r="602" spans="1:23" ht="15.75" customHeight="1">
      <c r="A602" s="114"/>
      <c r="B602" s="118"/>
      <c r="C602" s="117"/>
      <c r="D602" s="19">
        <f t="shared" si="350"/>
        <v>-1459</v>
      </c>
      <c r="E602" s="106"/>
      <c r="F602" s="107"/>
      <c r="G602" s="26">
        <f t="shared" si="351"/>
        <v>-1459</v>
      </c>
      <c r="H602" s="133"/>
      <c r="I602" s="117"/>
      <c r="J602" s="19">
        <f t="shared" si="352"/>
        <v>-1459</v>
      </c>
      <c r="K602" s="106"/>
      <c r="L602" s="107"/>
      <c r="M602" s="26">
        <f t="shared" si="353"/>
        <v>-1459</v>
      </c>
      <c r="N602" s="117"/>
      <c r="O602" s="117"/>
      <c r="P602" s="38">
        <f t="shared" si="354"/>
        <v>-1459</v>
      </c>
      <c r="Q602" s="106"/>
      <c r="R602" s="107"/>
      <c r="S602" s="26">
        <f t="shared" si="355"/>
        <v>-1459</v>
      </c>
      <c r="T602" s="136"/>
      <c r="U602" s="136"/>
      <c r="V602" s="45">
        <f t="shared" si="356"/>
        <v>-1459</v>
      </c>
      <c r="W602" s="143"/>
    </row>
    <row r="603" spans="1:23" ht="15.75" customHeight="1">
      <c r="A603" s="114"/>
      <c r="B603" s="118"/>
      <c r="C603" s="117"/>
      <c r="D603" s="19">
        <f t="shared" si="350"/>
        <v>-1459</v>
      </c>
      <c r="E603" s="106"/>
      <c r="F603" s="107"/>
      <c r="G603" s="26">
        <f t="shared" si="351"/>
        <v>-1459</v>
      </c>
      <c r="H603" s="133"/>
      <c r="I603" s="117"/>
      <c r="J603" s="19">
        <f t="shared" si="352"/>
        <v>-1459</v>
      </c>
      <c r="K603" s="106"/>
      <c r="L603" s="107"/>
      <c r="M603" s="26">
        <f t="shared" si="353"/>
        <v>-1459</v>
      </c>
      <c r="N603" s="117"/>
      <c r="O603" s="117"/>
      <c r="P603" s="38">
        <f t="shared" si="354"/>
        <v>-1459</v>
      </c>
      <c r="Q603" s="106"/>
      <c r="R603" s="107"/>
      <c r="S603" s="26">
        <f t="shared" si="355"/>
        <v>-1459</v>
      </c>
      <c r="T603" s="136"/>
      <c r="U603" s="136"/>
      <c r="V603" s="45">
        <f t="shared" si="356"/>
        <v>-1459</v>
      </c>
      <c r="W603" s="143"/>
    </row>
    <row r="604" spans="1:23" ht="15.75" customHeight="1">
      <c r="A604" s="114"/>
      <c r="B604" s="117"/>
      <c r="C604" s="117"/>
      <c r="D604" s="19">
        <f t="shared" si="350"/>
        <v>-1459</v>
      </c>
      <c r="E604" s="106"/>
      <c r="F604" s="107"/>
      <c r="G604" s="26">
        <f t="shared" si="351"/>
        <v>-1459</v>
      </c>
      <c r="H604" s="133"/>
      <c r="I604" s="117"/>
      <c r="J604" s="19">
        <f t="shared" si="352"/>
        <v>-1459</v>
      </c>
      <c r="K604" s="106"/>
      <c r="L604" s="107"/>
      <c r="M604" s="26">
        <f t="shared" si="353"/>
        <v>-1459</v>
      </c>
      <c r="N604" s="117"/>
      <c r="O604" s="117"/>
      <c r="P604" s="38">
        <f t="shared" si="354"/>
        <v>-1459</v>
      </c>
      <c r="Q604" s="106"/>
      <c r="R604" s="107"/>
      <c r="S604" s="26">
        <f t="shared" si="355"/>
        <v>-1459</v>
      </c>
      <c r="T604" s="136"/>
      <c r="U604" s="136"/>
      <c r="V604" s="45">
        <f t="shared" si="356"/>
        <v>-1459</v>
      </c>
      <c r="W604" s="143"/>
    </row>
    <row r="605" spans="1:23" ht="15.75" customHeight="1">
      <c r="A605" s="114"/>
      <c r="B605" s="117"/>
      <c r="C605" s="117"/>
      <c r="D605" s="19">
        <f t="shared" si="350"/>
        <v>-1459</v>
      </c>
      <c r="E605" s="122"/>
      <c r="F605" s="123"/>
      <c r="G605" s="26">
        <f t="shared" si="351"/>
        <v>-1459</v>
      </c>
      <c r="H605" s="133"/>
      <c r="I605" s="117"/>
      <c r="J605" s="19">
        <f t="shared" si="352"/>
        <v>-1459</v>
      </c>
      <c r="K605" s="122"/>
      <c r="L605" s="123"/>
      <c r="M605" s="26">
        <f t="shared" si="353"/>
        <v>-1459</v>
      </c>
      <c r="N605" s="117"/>
      <c r="O605" s="117"/>
      <c r="P605" s="38">
        <f t="shared" si="354"/>
        <v>-1459</v>
      </c>
      <c r="Q605" s="122"/>
      <c r="R605" s="123"/>
      <c r="S605" s="26">
        <f t="shared" si="355"/>
        <v>-1459</v>
      </c>
      <c r="T605" s="136"/>
      <c r="U605" s="136"/>
      <c r="V605" s="45">
        <f t="shared" si="356"/>
        <v>-1459</v>
      </c>
      <c r="W605" s="143"/>
    </row>
    <row r="606" spans="1:23" ht="15.75" customHeight="1">
      <c r="A606" s="114"/>
      <c r="B606" s="128"/>
      <c r="C606" s="128"/>
      <c r="D606" s="29">
        <f t="shared" si="350"/>
        <v>-1459</v>
      </c>
      <c r="E606" s="122"/>
      <c r="F606" s="123"/>
      <c r="G606" s="53">
        <f t="shared" si="351"/>
        <v>-1459</v>
      </c>
      <c r="H606" s="140"/>
      <c r="I606" s="128"/>
      <c r="J606" s="29">
        <f t="shared" si="352"/>
        <v>-1459</v>
      </c>
      <c r="K606" s="122"/>
      <c r="L606" s="123"/>
      <c r="M606" s="39">
        <f t="shared" si="353"/>
        <v>-1459</v>
      </c>
      <c r="N606" s="128"/>
      <c r="O606" s="128"/>
      <c r="P606" s="40">
        <f t="shared" si="354"/>
        <v>-1459</v>
      </c>
      <c r="Q606" s="122"/>
      <c r="R606" s="123"/>
      <c r="S606" s="39">
        <f t="shared" si="355"/>
        <v>-1459</v>
      </c>
      <c r="T606" s="141"/>
      <c r="U606" s="141"/>
      <c r="V606" s="46">
        <f t="shared" si="356"/>
        <v>-1459</v>
      </c>
      <c r="W606" s="143"/>
    </row>
    <row r="607" spans="1:23" ht="15.75" customHeight="1">
      <c r="A607" s="87"/>
      <c r="B607" s="77">
        <f ca="1">IFERROR(__xludf.DUMMYFUNCTION("DATE(VALUE(LEFT($B$2,4)),VALUE(MID($B$2,6,2)),VALUE(RIGHT($B$2,2)))
+ (VALUE(REGEXEXTRACT(INDIRECT(""A""&amp;ROW()+1),""\d+""))-1)*7
+ INT((COLUMN()-COLUMN($B607))/3)
"),47104)</f>
        <v>47104</v>
      </c>
      <c r="C607" s="81"/>
      <c r="D607" s="82"/>
      <c r="E607" s="77">
        <f ca="1">IFERROR(__xludf.DUMMYFUNCTION("DATE(VALUE(LEFT($B$2,4)),VALUE(MID($B$2,6,2)),VALUE(RIGHT($B$2,2)))
+ (VALUE(REGEXEXTRACT(INDIRECT(""A""&amp;ROW()+1),""\d+""))-1)*7
+ INT((COLUMN()-COLUMN($B607))/3)
"),47105)</f>
        <v>47105</v>
      </c>
      <c r="F607" s="81"/>
      <c r="G607" s="82"/>
      <c r="H607" s="77">
        <f ca="1">IFERROR(__xludf.DUMMYFUNCTION("DATE(VALUE(LEFT($B$2,4)),VALUE(MID($B$2,6,2)),VALUE(RIGHT($B$2,2)))
+ (VALUE(REGEXEXTRACT(INDIRECT(""A""&amp;ROW()+1),""\d+""))-1)*7
+ INT((COLUMN()-COLUMN($B607))/3)
"),47106)</f>
        <v>47106</v>
      </c>
      <c r="I607" s="81"/>
      <c r="J607" s="82"/>
      <c r="K607" s="77">
        <f ca="1">IFERROR(__xludf.DUMMYFUNCTION("DATE(VALUE(LEFT($B$2,4)),VALUE(MID($B$2,6,2)),VALUE(RIGHT($B$2,2)))
+ (VALUE(REGEXEXTRACT(INDIRECT(""A""&amp;ROW()+1),""\d+""))-1)*7
+ INT((COLUMN()-COLUMN($B607))/3)
"),47107)</f>
        <v>47107</v>
      </c>
      <c r="L607" s="81"/>
      <c r="M607" s="82"/>
      <c r="N607" s="77">
        <f ca="1">IFERROR(__xludf.DUMMYFUNCTION("DATE(VALUE(LEFT($B$2,4)),VALUE(MID($B$2,6,2)),VALUE(RIGHT($B$2,2)))
+ (VALUE(REGEXEXTRACT(INDIRECT(""A""&amp;ROW()+1),""\d+""))-1)*7
+ INT((COLUMN()-COLUMN($B607))/3)
"),47108)</f>
        <v>47108</v>
      </c>
      <c r="O607" s="81"/>
      <c r="P607" s="82"/>
      <c r="Q607" s="77">
        <f ca="1">IFERROR(__xludf.DUMMYFUNCTION("DATE(VALUE(LEFT($B$2,4)),VALUE(MID($B$2,6,2)),VALUE(RIGHT($B$2,2)))
+ (VALUE(REGEXEXTRACT(INDIRECT(""A""&amp;ROW()+1),""\d+""))-1)*7
+ INT((COLUMN()-COLUMN($B607))/3)
"),47109)</f>
        <v>47109</v>
      </c>
      <c r="R607" s="81"/>
      <c r="S607" s="82"/>
      <c r="T607" s="77">
        <f ca="1">IFERROR(__xludf.DUMMYFUNCTION("DATE(VALUE(LEFT($B$2,4)),VALUE(MID($B$2,6,2)),VALUE(RIGHT($B$2,2)))
+ (VALUE(REGEXEXTRACT(INDIRECT(""A""&amp;ROW()+1),""\d+""))-1)*7
+ INT((COLUMN()-COLUMN($B607))/3)
"),47110)</f>
        <v>47110</v>
      </c>
      <c r="U607" s="81"/>
      <c r="V607" s="82"/>
      <c r="W607" s="143"/>
    </row>
    <row r="608" spans="1:23" ht="15.75" customHeight="1">
      <c r="A608" s="51" t="s">
        <v>180</v>
      </c>
      <c r="B608" s="112"/>
      <c r="C608" s="111"/>
      <c r="D608" s="17">
        <f>V606+C608</f>
        <v>-1459</v>
      </c>
      <c r="E608" s="109"/>
      <c r="F608" s="109"/>
      <c r="G608" s="54">
        <f>D618+F608</f>
        <v>-1459</v>
      </c>
      <c r="H608" s="110"/>
      <c r="I608" s="111"/>
      <c r="J608" s="17">
        <f>G618+I608</f>
        <v>-1459</v>
      </c>
      <c r="K608" s="109"/>
      <c r="L608" s="109"/>
      <c r="M608" s="35">
        <f>J618+L608</f>
        <v>-1459</v>
      </c>
      <c r="N608" s="112"/>
      <c r="O608" s="111"/>
      <c r="P608" s="17">
        <f>M618+O608</f>
        <v>-1459</v>
      </c>
      <c r="Q608" s="109"/>
      <c r="R608" s="109"/>
      <c r="S608" s="35">
        <f>P618+R608</f>
        <v>-1459</v>
      </c>
      <c r="T608" s="112"/>
      <c r="U608" s="111"/>
      <c r="V608" s="48">
        <f>S618+U608</f>
        <v>-1459</v>
      </c>
      <c r="W608" s="143"/>
    </row>
    <row r="609" spans="1:23" ht="15.75" customHeight="1">
      <c r="A609" s="114"/>
      <c r="B609" s="106"/>
      <c r="C609" s="107"/>
      <c r="D609" s="26">
        <f t="shared" ref="D609:D618" si="357">D608+C609</f>
        <v>-1459</v>
      </c>
      <c r="E609" s="117"/>
      <c r="F609" s="117"/>
      <c r="G609" s="19">
        <f t="shared" ref="G609:G618" si="358">G608+F609</f>
        <v>-1459</v>
      </c>
      <c r="H609" s="116"/>
      <c r="I609" s="107"/>
      <c r="J609" s="26">
        <f t="shared" ref="J609:J618" si="359">J608+I609</f>
        <v>-1459</v>
      </c>
      <c r="K609" s="117"/>
      <c r="L609" s="117"/>
      <c r="M609" s="38">
        <f t="shared" ref="M609:M618" si="360">M608+L609</f>
        <v>-1459</v>
      </c>
      <c r="N609" s="106"/>
      <c r="O609" s="107"/>
      <c r="P609" s="26">
        <f t="shared" ref="P609:P618" si="361">P608+O609</f>
        <v>-1459</v>
      </c>
      <c r="Q609" s="117"/>
      <c r="R609" s="117"/>
      <c r="S609" s="38">
        <f t="shared" ref="S609:S618" si="362">S608+R609</f>
        <v>-1459</v>
      </c>
      <c r="T609" s="106"/>
      <c r="U609" s="107"/>
      <c r="V609" s="20">
        <f t="shared" ref="V609:V618" si="363">V608+U609</f>
        <v>-1459</v>
      </c>
      <c r="W609" s="143"/>
    </row>
    <row r="610" spans="1:23" ht="15.75" customHeight="1">
      <c r="A610" s="114"/>
      <c r="B610" s="106"/>
      <c r="C610" s="107"/>
      <c r="D610" s="26">
        <f t="shared" si="357"/>
        <v>-1459</v>
      </c>
      <c r="E610" s="117"/>
      <c r="F610" s="117"/>
      <c r="G610" s="19">
        <f t="shared" si="358"/>
        <v>-1459</v>
      </c>
      <c r="H610" s="116"/>
      <c r="I610" s="107"/>
      <c r="J610" s="26">
        <f t="shared" si="359"/>
        <v>-1459</v>
      </c>
      <c r="K610" s="117"/>
      <c r="L610" s="117"/>
      <c r="M610" s="38">
        <f t="shared" si="360"/>
        <v>-1459</v>
      </c>
      <c r="N610" s="106"/>
      <c r="O610" s="107"/>
      <c r="P610" s="26">
        <f t="shared" si="361"/>
        <v>-1459</v>
      </c>
      <c r="Q610" s="117"/>
      <c r="R610" s="117"/>
      <c r="S610" s="38">
        <f t="shared" si="362"/>
        <v>-1459</v>
      </c>
      <c r="T610" s="106"/>
      <c r="U610" s="116"/>
      <c r="V610" s="20">
        <f t="shared" si="363"/>
        <v>-1459</v>
      </c>
      <c r="W610" s="143"/>
    </row>
    <row r="611" spans="1:23" ht="15.75" customHeight="1">
      <c r="A611" s="114"/>
      <c r="B611" s="106"/>
      <c r="C611" s="107"/>
      <c r="D611" s="26">
        <f t="shared" si="357"/>
        <v>-1459</v>
      </c>
      <c r="E611" s="117"/>
      <c r="F611" s="117"/>
      <c r="G611" s="19">
        <f t="shared" si="358"/>
        <v>-1459</v>
      </c>
      <c r="H611" s="116"/>
      <c r="I611" s="107"/>
      <c r="J611" s="26">
        <f t="shared" si="359"/>
        <v>-1459</v>
      </c>
      <c r="K611" s="117"/>
      <c r="L611" s="117"/>
      <c r="M611" s="38">
        <f t="shared" si="360"/>
        <v>-1459</v>
      </c>
      <c r="N611" s="106"/>
      <c r="O611" s="107"/>
      <c r="P611" s="26">
        <f t="shared" si="361"/>
        <v>-1459</v>
      </c>
      <c r="Q611" s="117"/>
      <c r="R611" s="117"/>
      <c r="S611" s="38">
        <f t="shared" si="362"/>
        <v>-1459</v>
      </c>
      <c r="T611" s="106"/>
      <c r="U611" s="116"/>
      <c r="V611" s="20">
        <f t="shared" si="363"/>
        <v>-1459</v>
      </c>
      <c r="W611" s="143"/>
    </row>
    <row r="612" spans="1:23" ht="15.75" customHeight="1">
      <c r="A612" s="114"/>
      <c r="B612" s="106"/>
      <c r="C612" s="107"/>
      <c r="D612" s="26">
        <f t="shared" si="357"/>
        <v>-1459</v>
      </c>
      <c r="E612" s="117"/>
      <c r="F612" s="117"/>
      <c r="G612" s="19">
        <f t="shared" si="358"/>
        <v>-1459</v>
      </c>
      <c r="H612" s="116"/>
      <c r="I612" s="107"/>
      <c r="J612" s="26">
        <f t="shared" si="359"/>
        <v>-1459</v>
      </c>
      <c r="K612" s="117"/>
      <c r="L612" s="117"/>
      <c r="M612" s="38">
        <f t="shared" si="360"/>
        <v>-1459</v>
      </c>
      <c r="N612" s="106"/>
      <c r="O612" s="107"/>
      <c r="P612" s="26">
        <f t="shared" si="361"/>
        <v>-1459</v>
      </c>
      <c r="Q612" s="117"/>
      <c r="R612" s="117"/>
      <c r="S612" s="38">
        <f t="shared" si="362"/>
        <v>-1459</v>
      </c>
      <c r="T612" s="106"/>
      <c r="U612" s="116"/>
      <c r="V612" s="20">
        <f t="shared" si="363"/>
        <v>-1459</v>
      </c>
      <c r="W612" s="143"/>
    </row>
    <row r="613" spans="1:23" ht="15.75" customHeight="1">
      <c r="A613" s="114"/>
      <c r="B613" s="106"/>
      <c r="C613" s="107"/>
      <c r="D613" s="26">
        <f t="shared" si="357"/>
        <v>-1459</v>
      </c>
      <c r="E613" s="117"/>
      <c r="F613" s="117"/>
      <c r="G613" s="19">
        <f t="shared" si="358"/>
        <v>-1459</v>
      </c>
      <c r="H613" s="116"/>
      <c r="I613" s="107"/>
      <c r="J613" s="26">
        <f t="shared" si="359"/>
        <v>-1459</v>
      </c>
      <c r="K613" s="117"/>
      <c r="L613" s="117"/>
      <c r="M613" s="38">
        <f t="shared" si="360"/>
        <v>-1459</v>
      </c>
      <c r="N613" s="106"/>
      <c r="O613" s="107"/>
      <c r="P613" s="26">
        <f t="shared" si="361"/>
        <v>-1459</v>
      </c>
      <c r="Q613" s="117"/>
      <c r="R613" s="117"/>
      <c r="S613" s="38">
        <f t="shared" si="362"/>
        <v>-1459</v>
      </c>
      <c r="T613" s="106"/>
      <c r="U613" s="116"/>
      <c r="V613" s="20">
        <f t="shared" si="363"/>
        <v>-1459</v>
      </c>
      <c r="W613" s="143"/>
    </row>
    <row r="614" spans="1:23" ht="15.75" customHeight="1">
      <c r="A614" s="114"/>
      <c r="B614" s="106"/>
      <c r="C614" s="107"/>
      <c r="D614" s="26">
        <f t="shared" si="357"/>
        <v>-1459</v>
      </c>
      <c r="E614" s="117"/>
      <c r="F614" s="117"/>
      <c r="G614" s="19">
        <f t="shared" si="358"/>
        <v>-1459</v>
      </c>
      <c r="H614" s="116"/>
      <c r="I614" s="107"/>
      <c r="J614" s="26">
        <f t="shared" si="359"/>
        <v>-1459</v>
      </c>
      <c r="K614" s="117"/>
      <c r="L614" s="117"/>
      <c r="M614" s="38">
        <f t="shared" si="360"/>
        <v>-1459</v>
      </c>
      <c r="N614" s="106"/>
      <c r="O614" s="107"/>
      <c r="P614" s="26">
        <f t="shared" si="361"/>
        <v>-1459</v>
      </c>
      <c r="Q614" s="117"/>
      <c r="R614" s="117"/>
      <c r="S614" s="38">
        <f t="shared" si="362"/>
        <v>-1459</v>
      </c>
      <c r="T614" s="106"/>
      <c r="U614" s="116"/>
      <c r="V614" s="20">
        <f t="shared" si="363"/>
        <v>-1459</v>
      </c>
      <c r="W614" s="143"/>
    </row>
    <row r="615" spans="1:23" ht="15.75" customHeight="1">
      <c r="A615" s="114"/>
      <c r="B615" s="106"/>
      <c r="C615" s="107"/>
      <c r="D615" s="26">
        <f t="shared" si="357"/>
        <v>-1459</v>
      </c>
      <c r="E615" s="117"/>
      <c r="F615" s="117"/>
      <c r="G615" s="19">
        <f t="shared" si="358"/>
        <v>-1459</v>
      </c>
      <c r="H615" s="116"/>
      <c r="I615" s="107"/>
      <c r="J615" s="26">
        <f t="shared" si="359"/>
        <v>-1459</v>
      </c>
      <c r="K615" s="117"/>
      <c r="L615" s="117"/>
      <c r="M615" s="38">
        <f t="shared" si="360"/>
        <v>-1459</v>
      </c>
      <c r="N615" s="106"/>
      <c r="O615" s="107"/>
      <c r="P615" s="26">
        <f t="shared" si="361"/>
        <v>-1459</v>
      </c>
      <c r="Q615" s="117"/>
      <c r="R615" s="117"/>
      <c r="S615" s="38">
        <f t="shared" si="362"/>
        <v>-1459</v>
      </c>
      <c r="T615" s="106"/>
      <c r="U615" s="116"/>
      <c r="V615" s="20">
        <f t="shared" si="363"/>
        <v>-1459</v>
      </c>
      <c r="W615" s="143"/>
    </row>
    <row r="616" spans="1:23" ht="15.75" customHeight="1">
      <c r="A616" s="114"/>
      <c r="B616" s="122"/>
      <c r="C616" s="123"/>
      <c r="D616" s="26">
        <f t="shared" si="357"/>
        <v>-1459</v>
      </c>
      <c r="E616" s="117"/>
      <c r="F616" s="117"/>
      <c r="G616" s="19">
        <f t="shared" si="358"/>
        <v>-1459</v>
      </c>
      <c r="H616" s="124"/>
      <c r="I616" s="123"/>
      <c r="J616" s="26">
        <f t="shared" si="359"/>
        <v>-1459</v>
      </c>
      <c r="K616" s="117"/>
      <c r="L616" s="117"/>
      <c r="M616" s="38">
        <f t="shared" si="360"/>
        <v>-1459</v>
      </c>
      <c r="N616" s="122"/>
      <c r="O616" s="123"/>
      <c r="P616" s="26">
        <f t="shared" si="361"/>
        <v>-1459</v>
      </c>
      <c r="Q616" s="117"/>
      <c r="R616" s="117"/>
      <c r="S616" s="38">
        <f t="shared" si="362"/>
        <v>-1459</v>
      </c>
      <c r="T616" s="106"/>
      <c r="U616" s="116"/>
      <c r="V616" s="20">
        <f t="shared" si="363"/>
        <v>-1459</v>
      </c>
      <c r="W616" s="143"/>
    </row>
    <row r="617" spans="1:23" ht="15.75" customHeight="1">
      <c r="A617" s="114"/>
      <c r="B617" s="122"/>
      <c r="C617" s="123"/>
      <c r="D617" s="26">
        <f t="shared" si="357"/>
        <v>-1459</v>
      </c>
      <c r="E617" s="117"/>
      <c r="F617" s="117"/>
      <c r="G617" s="19">
        <f t="shared" si="358"/>
        <v>-1459</v>
      </c>
      <c r="H617" s="124"/>
      <c r="I617" s="123"/>
      <c r="J617" s="26">
        <f t="shared" si="359"/>
        <v>-1459</v>
      </c>
      <c r="K617" s="117"/>
      <c r="L617" s="117"/>
      <c r="M617" s="38">
        <f t="shared" si="360"/>
        <v>-1459</v>
      </c>
      <c r="N617" s="122"/>
      <c r="O617" s="123"/>
      <c r="P617" s="26">
        <f t="shared" si="361"/>
        <v>-1459</v>
      </c>
      <c r="Q617" s="117"/>
      <c r="R617" s="117"/>
      <c r="S617" s="38">
        <f t="shared" si="362"/>
        <v>-1459</v>
      </c>
      <c r="T617" s="122"/>
      <c r="U617" s="124"/>
      <c r="V617" s="20">
        <f t="shared" si="363"/>
        <v>-1459</v>
      </c>
      <c r="W617" s="143"/>
    </row>
    <row r="618" spans="1:23" ht="15.75" customHeight="1">
      <c r="A618" s="114"/>
      <c r="B618" s="122"/>
      <c r="C618" s="123"/>
      <c r="D618" s="39">
        <f t="shared" si="357"/>
        <v>-1459</v>
      </c>
      <c r="E618" s="128"/>
      <c r="F618" s="128"/>
      <c r="G618" s="55">
        <f t="shared" si="358"/>
        <v>-1459</v>
      </c>
      <c r="H618" s="124"/>
      <c r="I618" s="123"/>
      <c r="J618" s="39">
        <f t="shared" si="359"/>
        <v>-1459</v>
      </c>
      <c r="K618" s="128"/>
      <c r="L618" s="128"/>
      <c r="M618" s="40">
        <f t="shared" si="360"/>
        <v>-1459</v>
      </c>
      <c r="N618" s="122"/>
      <c r="O618" s="123"/>
      <c r="P618" s="39">
        <f t="shared" si="361"/>
        <v>-1459</v>
      </c>
      <c r="Q618" s="128"/>
      <c r="R618" s="128"/>
      <c r="S618" s="40">
        <f t="shared" si="362"/>
        <v>-1459</v>
      </c>
      <c r="T618" s="122"/>
      <c r="U618" s="123"/>
      <c r="V618" s="49">
        <f t="shared" si="363"/>
        <v>-1459</v>
      </c>
      <c r="W618" s="143"/>
    </row>
    <row r="619" spans="1:23" ht="15.75" customHeight="1">
      <c r="A619" s="87"/>
      <c r="B619" s="77">
        <f ca="1">IFERROR(__xludf.DUMMYFUNCTION("DATE(VALUE(LEFT($B$2,4)),VALUE(MID($B$2,6,2)),VALUE(RIGHT($B$2,2)))
+ (VALUE(REGEXEXTRACT(INDIRECT(""A""&amp;ROW()+1),""\d+""))-1)*7
+ INT((COLUMN()-COLUMN($B619))/3)
"),47111)</f>
        <v>47111</v>
      </c>
      <c r="C619" s="81"/>
      <c r="D619" s="82"/>
      <c r="E619" s="77">
        <f ca="1">IFERROR(__xludf.DUMMYFUNCTION("DATE(VALUE(LEFT($B$2,4)),VALUE(MID($B$2,6,2)),VALUE(RIGHT($B$2,2)))
+ (VALUE(REGEXEXTRACT(INDIRECT(""A""&amp;ROW()+1),""\d+""))-1)*7
+ INT((COLUMN()-COLUMN($B619))/3)
"),47112)</f>
        <v>47112</v>
      </c>
      <c r="F619" s="81"/>
      <c r="G619" s="82"/>
      <c r="H619" s="77">
        <f ca="1">IFERROR(__xludf.DUMMYFUNCTION("DATE(VALUE(LEFT($B$2,4)),VALUE(MID($B$2,6,2)),VALUE(RIGHT($B$2,2)))
+ (VALUE(REGEXEXTRACT(INDIRECT(""A""&amp;ROW()+1),""\d+""))-1)*7
+ INT((COLUMN()-COLUMN($B619))/3)
"),47113)</f>
        <v>47113</v>
      </c>
      <c r="I619" s="81"/>
      <c r="J619" s="82"/>
      <c r="K619" s="77">
        <f ca="1">IFERROR(__xludf.DUMMYFUNCTION("DATE(VALUE(LEFT($B$2,4)),VALUE(MID($B$2,6,2)),VALUE(RIGHT($B$2,2)))
+ (VALUE(REGEXEXTRACT(INDIRECT(""A""&amp;ROW()+1),""\d+""))-1)*7
+ INT((COLUMN()-COLUMN($B619))/3)
"),47114)</f>
        <v>47114</v>
      </c>
      <c r="L619" s="81"/>
      <c r="M619" s="82"/>
      <c r="N619" s="77">
        <f ca="1">IFERROR(__xludf.DUMMYFUNCTION("DATE(VALUE(LEFT($B$2,4)),VALUE(MID($B$2,6,2)),VALUE(RIGHT($B$2,2)))
+ (VALUE(REGEXEXTRACT(INDIRECT(""A""&amp;ROW()+1),""\d+""))-1)*7
+ INT((COLUMN()-COLUMN($B619))/3)
"),47115)</f>
        <v>47115</v>
      </c>
      <c r="O619" s="81"/>
      <c r="P619" s="82"/>
      <c r="Q619" s="77">
        <f ca="1">IFERROR(__xludf.DUMMYFUNCTION("DATE(VALUE(LEFT($B$2,4)),VALUE(MID($B$2,6,2)),VALUE(RIGHT($B$2,2)))
+ (VALUE(REGEXEXTRACT(INDIRECT(""A""&amp;ROW()+1),""\d+""))-1)*7
+ INT((COLUMN()-COLUMN($B619))/3)
"),47116)</f>
        <v>47116</v>
      </c>
      <c r="R619" s="81"/>
      <c r="S619" s="82"/>
      <c r="T619" s="77">
        <f ca="1">IFERROR(__xludf.DUMMYFUNCTION("DATE(VALUE(LEFT($B$2,4)),VALUE(MID($B$2,6,2)),VALUE(RIGHT($B$2,2)))
+ (VALUE(REGEXEXTRACT(INDIRECT(""A""&amp;ROW()+1),""\d+""))-1)*7
+ INT((COLUMN()-COLUMN($B619))/3)
"),47117)</f>
        <v>47117</v>
      </c>
      <c r="U619" s="81"/>
      <c r="V619" s="82"/>
      <c r="W619" s="52" t="s">
        <v>20</v>
      </c>
    </row>
    <row r="620" spans="1:23" ht="15.75" customHeight="1">
      <c r="A620" s="47" t="s">
        <v>181</v>
      </c>
      <c r="B620" s="113"/>
      <c r="C620" s="109"/>
      <c r="D620" s="42">
        <f>V618+C620</f>
        <v>-1459</v>
      </c>
      <c r="E620" s="112"/>
      <c r="F620" s="111"/>
      <c r="G620" s="36">
        <f>D630+F620</f>
        <v>-1459</v>
      </c>
      <c r="H620" s="132"/>
      <c r="I620" s="109"/>
      <c r="J620" s="42">
        <f>G630+I620</f>
        <v>-1459</v>
      </c>
      <c r="K620" s="112"/>
      <c r="L620" s="111"/>
      <c r="M620" s="18">
        <f>J630+L620</f>
        <v>-1459</v>
      </c>
      <c r="N620" s="113"/>
      <c r="O620" s="109"/>
      <c r="P620" s="35">
        <f>M630+O620</f>
        <v>-1459</v>
      </c>
      <c r="Q620" s="112"/>
      <c r="R620" s="111"/>
      <c r="S620" s="36">
        <f>P630+R620</f>
        <v>-1459</v>
      </c>
      <c r="T620" s="176"/>
      <c r="U620" s="173"/>
      <c r="V620" s="50">
        <f>S630+U620</f>
        <v>-1459</v>
      </c>
      <c r="W620" s="172"/>
    </row>
    <row r="621" spans="1:23" ht="15.75" customHeight="1">
      <c r="A621" s="114"/>
      <c r="B621" s="118"/>
      <c r="C621" s="117"/>
      <c r="D621" s="19">
        <f t="shared" ref="D621:D630" si="364">D620+C621</f>
        <v>-1459</v>
      </c>
      <c r="E621" s="106"/>
      <c r="F621" s="107"/>
      <c r="G621" s="26">
        <f t="shared" ref="G621:G630" si="365">G620+F621</f>
        <v>-1459</v>
      </c>
      <c r="H621" s="133"/>
      <c r="I621" s="117"/>
      <c r="J621" s="19">
        <f t="shared" ref="J621:J630" si="366">J620+I621</f>
        <v>-1459</v>
      </c>
      <c r="K621" s="106"/>
      <c r="L621" s="107"/>
      <c r="M621" s="26">
        <f t="shared" ref="M621:M630" si="367">M620+L621</f>
        <v>-1459</v>
      </c>
      <c r="N621" s="118"/>
      <c r="O621" s="117"/>
      <c r="P621" s="38">
        <f t="shared" ref="P621:P630" si="368">P620+O621</f>
        <v>-1459</v>
      </c>
      <c r="Q621" s="106"/>
      <c r="R621" s="107"/>
      <c r="S621" s="26">
        <f t="shared" ref="S621:S630" si="369">S620+R621</f>
        <v>-1459</v>
      </c>
      <c r="T621" s="177"/>
      <c r="U621" s="136"/>
      <c r="V621" s="45">
        <f t="shared" ref="V621:V630" si="370">V620+U621</f>
        <v>-1459</v>
      </c>
      <c r="W621" s="143"/>
    </row>
    <row r="622" spans="1:23" ht="15.75" customHeight="1">
      <c r="A622" s="114"/>
      <c r="B622" s="118"/>
      <c r="C622" s="117"/>
      <c r="D622" s="19">
        <f t="shared" si="364"/>
        <v>-1459</v>
      </c>
      <c r="E622" s="106"/>
      <c r="F622" s="107"/>
      <c r="G622" s="26">
        <f t="shared" si="365"/>
        <v>-1459</v>
      </c>
      <c r="H622" s="133"/>
      <c r="I622" s="117"/>
      <c r="J622" s="19">
        <f t="shared" si="366"/>
        <v>-1459</v>
      </c>
      <c r="K622" s="106"/>
      <c r="L622" s="107"/>
      <c r="M622" s="26">
        <f t="shared" si="367"/>
        <v>-1459</v>
      </c>
      <c r="N622" s="117"/>
      <c r="O622" s="117"/>
      <c r="P622" s="38">
        <f t="shared" si="368"/>
        <v>-1459</v>
      </c>
      <c r="Q622" s="106"/>
      <c r="R622" s="107"/>
      <c r="S622" s="26">
        <f t="shared" si="369"/>
        <v>-1459</v>
      </c>
      <c r="T622" s="177"/>
      <c r="U622" s="136"/>
      <c r="V622" s="45">
        <f t="shared" si="370"/>
        <v>-1459</v>
      </c>
      <c r="W622" s="143"/>
    </row>
    <row r="623" spans="1:23" ht="15.75" customHeight="1">
      <c r="A623" s="114"/>
      <c r="B623" s="118"/>
      <c r="C623" s="117"/>
      <c r="D623" s="19">
        <f t="shared" si="364"/>
        <v>-1459</v>
      </c>
      <c r="E623" s="106"/>
      <c r="F623" s="107"/>
      <c r="G623" s="26">
        <f t="shared" si="365"/>
        <v>-1459</v>
      </c>
      <c r="H623" s="133"/>
      <c r="I623" s="117"/>
      <c r="J623" s="19">
        <f t="shared" si="366"/>
        <v>-1459</v>
      </c>
      <c r="K623" s="106"/>
      <c r="L623" s="107"/>
      <c r="M623" s="26">
        <f t="shared" si="367"/>
        <v>-1459</v>
      </c>
      <c r="N623" s="117"/>
      <c r="O623" s="117"/>
      <c r="P623" s="38">
        <f t="shared" si="368"/>
        <v>-1459</v>
      </c>
      <c r="Q623" s="106"/>
      <c r="R623" s="107"/>
      <c r="S623" s="26">
        <f t="shared" si="369"/>
        <v>-1459</v>
      </c>
      <c r="T623" s="177"/>
      <c r="U623" s="136"/>
      <c r="V623" s="45">
        <f t="shared" si="370"/>
        <v>-1459</v>
      </c>
      <c r="W623" s="143"/>
    </row>
    <row r="624" spans="1:23" ht="15.75" customHeight="1">
      <c r="A624" s="114"/>
      <c r="B624" s="118"/>
      <c r="C624" s="117"/>
      <c r="D624" s="19">
        <f t="shared" si="364"/>
        <v>-1459</v>
      </c>
      <c r="E624" s="106"/>
      <c r="F624" s="107"/>
      <c r="G624" s="26">
        <f t="shared" si="365"/>
        <v>-1459</v>
      </c>
      <c r="H624" s="133"/>
      <c r="I624" s="117"/>
      <c r="J624" s="19">
        <f t="shared" si="366"/>
        <v>-1459</v>
      </c>
      <c r="K624" s="106"/>
      <c r="L624" s="107"/>
      <c r="M624" s="26">
        <f t="shared" si="367"/>
        <v>-1459</v>
      </c>
      <c r="N624" s="117"/>
      <c r="O624" s="117"/>
      <c r="P624" s="38">
        <f t="shared" si="368"/>
        <v>-1459</v>
      </c>
      <c r="Q624" s="106"/>
      <c r="R624" s="107"/>
      <c r="S624" s="26">
        <f t="shared" si="369"/>
        <v>-1459</v>
      </c>
      <c r="T624" s="177"/>
      <c r="U624" s="136"/>
      <c r="V624" s="45">
        <f t="shared" si="370"/>
        <v>-1459</v>
      </c>
      <c r="W624" s="143"/>
    </row>
    <row r="625" spans="1:23" ht="15.75" customHeight="1">
      <c r="A625" s="114"/>
      <c r="B625" s="118"/>
      <c r="C625" s="117"/>
      <c r="D625" s="19">
        <f t="shared" si="364"/>
        <v>-1459</v>
      </c>
      <c r="E625" s="106"/>
      <c r="F625" s="107"/>
      <c r="G625" s="26">
        <f t="shared" si="365"/>
        <v>-1459</v>
      </c>
      <c r="H625" s="133"/>
      <c r="I625" s="117"/>
      <c r="J625" s="19">
        <f t="shared" si="366"/>
        <v>-1459</v>
      </c>
      <c r="K625" s="106"/>
      <c r="L625" s="107"/>
      <c r="M625" s="26">
        <f t="shared" si="367"/>
        <v>-1459</v>
      </c>
      <c r="N625" s="117"/>
      <c r="O625" s="117"/>
      <c r="P625" s="38">
        <f t="shared" si="368"/>
        <v>-1459</v>
      </c>
      <c r="Q625" s="106"/>
      <c r="R625" s="107"/>
      <c r="S625" s="26">
        <f t="shared" si="369"/>
        <v>-1459</v>
      </c>
      <c r="T625" s="177"/>
      <c r="U625" s="136"/>
      <c r="V625" s="45">
        <f t="shared" si="370"/>
        <v>-1459</v>
      </c>
      <c r="W625" s="143"/>
    </row>
    <row r="626" spans="1:23" ht="15.75" customHeight="1">
      <c r="A626" s="114"/>
      <c r="B626" s="117"/>
      <c r="C626" s="117"/>
      <c r="D626" s="19">
        <f t="shared" si="364"/>
        <v>-1459</v>
      </c>
      <c r="E626" s="106"/>
      <c r="F626" s="107"/>
      <c r="G626" s="26">
        <f t="shared" si="365"/>
        <v>-1459</v>
      </c>
      <c r="H626" s="133"/>
      <c r="I626" s="117"/>
      <c r="J626" s="19">
        <f t="shared" si="366"/>
        <v>-1459</v>
      </c>
      <c r="K626" s="106"/>
      <c r="L626" s="107"/>
      <c r="M626" s="26">
        <f t="shared" si="367"/>
        <v>-1459</v>
      </c>
      <c r="N626" s="117"/>
      <c r="O626" s="117"/>
      <c r="P626" s="38">
        <f t="shared" si="368"/>
        <v>-1459</v>
      </c>
      <c r="Q626" s="106"/>
      <c r="R626" s="107"/>
      <c r="S626" s="26">
        <f t="shared" si="369"/>
        <v>-1459</v>
      </c>
      <c r="T626" s="177"/>
      <c r="U626" s="136"/>
      <c r="V626" s="45">
        <f t="shared" si="370"/>
        <v>-1459</v>
      </c>
      <c r="W626" s="143"/>
    </row>
    <row r="627" spans="1:23" ht="15.75" customHeight="1">
      <c r="A627" s="114"/>
      <c r="B627" s="117"/>
      <c r="C627" s="117"/>
      <c r="D627" s="19">
        <f t="shared" si="364"/>
        <v>-1459</v>
      </c>
      <c r="E627" s="106"/>
      <c r="F627" s="107"/>
      <c r="G627" s="26">
        <f t="shared" si="365"/>
        <v>-1459</v>
      </c>
      <c r="H627" s="133"/>
      <c r="I627" s="117"/>
      <c r="J627" s="19">
        <f t="shared" si="366"/>
        <v>-1459</v>
      </c>
      <c r="K627" s="106"/>
      <c r="L627" s="107"/>
      <c r="M627" s="26">
        <f t="shared" si="367"/>
        <v>-1459</v>
      </c>
      <c r="N627" s="117"/>
      <c r="O627" s="117"/>
      <c r="P627" s="38">
        <f t="shared" si="368"/>
        <v>-1459</v>
      </c>
      <c r="Q627" s="106"/>
      <c r="R627" s="107"/>
      <c r="S627" s="26">
        <f t="shared" si="369"/>
        <v>-1459</v>
      </c>
      <c r="T627" s="177"/>
      <c r="U627" s="136"/>
      <c r="V627" s="45">
        <f t="shared" si="370"/>
        <v>-1459</v>
      </c>
      <c r="W627" s="143"/>
    </row>
    <row r="628" spans="1:23" ht="15.75" customHeight="1">
      <c r="A628" s="114"/>
      <c r="B628" s="117"/>
      <c r="C628" s="117"/>
      <c r="D628" s="19">
        <f t="shared" si="364"/>
        <v>-1459</v>
      </c>
      <c r="E628" s="106"/>
      <c r="F628" s="107"/>
      <c r="G628" s="26">
        <f t="shared" si="365"/>
        <v>-1459</v>
      </c>
      <c r="H628" s="133"/>
      <c r="I628" s="117"/>
      <c r="J628" s="19">
        <f t="shared" si="366"/>
        <v>-1459</v>
      </c>
      <c r="K628" s="106"/>
      <c r="L628" s="107"/>
      <c r="M628" s="26">
        <f t="shared" si="367"/>
        <v>-1459</v>
      </c>
      <c r="N628" s="117"/>
      <c r="O628" s="117"/>
      <c r="P628" s="38">
        <f t="shared" si="368"/>
        <v>-1459</v>
      </c>
      <c r="Q628" s="106"/>
      <c r="R628" s="107"/>
      <c r="S628" s="26">
        <f t="shared" si="369"/>
        <v>-1459</v>
      </c>
      <c r="T628" s="177"/>
      <c r="U628" s="136"/>
      <c r="V628" s="45">
        <f t="shared" si="370"/>
        <v>-1459</v>
      </c>
      <c r="W628" s="143"/>
    </row>
    <row r="629" spans="1:23" ht="15.75" customHeight="1">
      <c r="A629" s="114"/>
      <c r="B629" s="117"/>
      <c r="C629" s="117"/>
      <c r="D629" s="19">
        <f t="shared" si="364"/>
        <v>-1459</v>
      </c>
      <c r="E629" s="122"/>
      <c r="F629" s="123"/>
      <c r="G629" s="26">
        <f t="shared" si="365"/>
        <v>-1459</v>
      </c>
      <c r="H629" s="133"/>
      <c r="I629" s="117"/>
      <c r="J629" s="19">
        <f t="shared" si="366"/>
        <v>-1459</v>
      </c>
      <c r="K629" s="122"/>
      <c r="L629" s="123"/>
      <c r="M629" s="26">
        <f t="shared" si="367"/>
        <v>-1459</v>
      </c>
      <c r="N629" s="117"/>
      <c r="O629" s="117"/>
      <c r="P629" s="38">
        <f t="shared" si="368"/>
        <v>-1459</v>
      </c>
      <c r="Q629" s="122"/>
      <c r="R629" s="123"/>
      <c r="S629" s="26">
        <f t="shared" si="369"/>
        <v>-1459</v>
      </c>
      <c r="T629" s="177"/>
      <c r="U629" s="136"/>
      <c r="V629" s="45">
        <f t="shared" si="370"/>
        <v>-1459</v>
      </c>
      <c r="W629" s="143"/>
    </row>
    <row r="630" spans="1:23" ht="15.75" customHeight="1">
      <c r="A630" s="114"/>
      <c r="B630" s="128"/>
      <c r="C630" s="128"/>
      <c r="D630" s="29">
        <f t="shared" si="364"/>
        <v>-1459</v>
      </c>
      <c r="E630" s="122"/>
      <c r="F630" s="123"/>
      <c r="G630" s="53">
        <f t="shared" si="365"/>
        <v>-1459</v>
      </c>
      <c r="H630" s="140"/>
      <c r="I630" s="128"/>
      <c r="J630" s="29">
        <f t="shared" si="366"/>
        <v>-1459</v>
      </c>
      <c r="K630" s="122"/>
      <c r="L630" s="123"/>
      <c r="M630" s="39">
        <f t="shared" si="367"/>
        <v>-1459</v>
      </c>
      <c r="N630" s="128"/>
      <c r="O630" s="128"/>
      <c r="P630" s="40">
        <f t="shared" si="368"/>
        <v>-1459</v>
      </c>
      <c r="Q630" s="122"/>
      <c r="R630" s="123"/>
      <c r="S630" s="53">
        <f t="shared" si="369"/>
        <v>-1459</v>
      </c>
      <c r="T630" s="178"/>
      <c r="U630" s="141"/>
      <c r="V630" s="46">
        <f t="shared" si="370"/>
        <v>-1459</v>
      </c>
      <c r="W630" s="143"/>
    </row>
    <row r="631" spans="1:23" ht="15.75" customHeight="1">
      <c r="A631" s="87"/>
      <c r="B631" s="77">
        <f ca="1">IFERROR(__xludf.DUMMYFUNCTION("DATE(VALUE(LEFT($B$2,4)),VALUE(MID($B$2,6,2)),VALUE(RIGHT($B$2,2)))
+ (VALUE(REGEXEXTRACT(INDIRECT(""A""&amp;ROW()+1),""\d+""))-1)*7
+ INT((COLUMN()-COLUMN($B631))/3)
"),47118)</f>
        <v>47118</v>
      </c>
      <c r="C631" s="81"/>
      <c r="D631" s="82"/>
      <c r="E631" s="77">
        <f ca="1">IFERROR(__xludf.DUMMYFUNCTION("DATE(VALUE(LEFT($B$2,4)),VALUE(MID($B$2,6,2)),VALUE(RIGHT($B$2,2)))
+ (VALUE(REGEXEXTRACT(INDIRECT(""A""&amp;ROW()+1),""\d+""))-1)*7
+ INT((COLUMN()-COLUMN($B631))/3)
"),47119)</f>
        <v>47119</v>
      </c>
      <c r="F631" s="81"/>
      <c r="G631" s="82"/>
      <c r="H631" s="77">
        <f ca="1">IFERROR(__xludf.DUMMYFUNCTION("DATE(VALUE(LEFT($B$2,4)),VALUE(MID($B$2,6,2)),VALUE(RIGHT($B$2,2)))
+ (VALUE(REGEXEXTRACT(INDIRECT(""A""&amp;ROW()+1),""\d+""))-1)*7
+ INT((COLUMN()-COLUMN($B631))/3)
"),47120)</f>
        <v>47120</v>
      </c>
      <c r="I631" s="81"/>
      <c r="J631" s="82"/>
      <c r="K631" s="77">
        <f ca="1">IFERROR(__xludf.DUMMYFUNCTION("DATE(VALUE(LEFT($B$2,4)),VALUE(MID($B$2,6,2)),VALUE(RIGHT($B$2,2)))
+ (VALUE(REGEXEXTRACT(INDIRECT(""A""&amp;ROW()+1),""\d+""))-1)*7
+ INT((COLUMN()-COLUMN($B631))/3)
"),47121)</f>
        <v>47121</v>
      </c>
      <c r="L631" s="81"/>
      <c r="M631" s="82"/>
      <c r="N631" s="77">
        <f ca="1">IFERROR(__xludf.DUMMYFUNCTION("DATE(VALUE(LEFT($B$2,4)),VALUE(MID($B$2,6,2)),VALUE(RIGHT($B$2,2)))
+ (VALUE(REGEXEXTRACT(INDIRECT(""A""&amp;ROW()+1),""\d+""))-1)*7
+ INT((COLUMN()-COLUMN($B631))/3)
"),47122)</f>
        <v>47122</v>
      </c>
      <c r="O631" s="81"/>
      <c r="P631" s="82"/>
      <c r="Q631" s="77">
        <f ca="1">IFERROR(__xludf.DUMMYFUNCTION("DATE(VALUE(LEFT($B$2,4)),VALUE(MID($B$2,6,2)),VALUE(RIGHT($B$2,2)))
+ (VALUE(REGEXEXTRACT(INDIRECT(""A""&amp;ROW()+1),""\d+""))-1)*7
+ INT((COLUMN()-COLUMN($B631))/3)
"),47123)</f>
        <v>47123</v>
      </c>
      <c r="R631" s="81"/>
      <c r="S631" s="82"/>
      <c r="T631" s="77">
        <f ca="1">IFERROR(__xludf.DUMMYFUNCTION("DATE(VALUE(LEFT($B$2,4)),VALUE(MID($B$2,6,2)),VALUE(RIGHT($B$2,2)))
+ (VALUE(REGEXEXTRACT(INDIRECT(""A""&amp;ROW()+1),""\d+""))-1)*7
+ INT((COLUMN()-COLUMN($B631))/3)
"),47124)</f>
        <v>47124</v>
      </c>
      <c r="U631" s="81"/>
      <c r="V631" s="82"/>
      <c r="W631" s="143"/>
    </row>
    <row r="632" spans="1:23" ht="15.75" customHeight="1">
      <c r="A632" s="51" t="s">
        <v>182</v>
      </c>
      <c r="B632" s="112"/>
      <c r="C632" s="111"/>
      <c r="D632" s="17">
        <f>V630+C632</f>
        <v>-1459</v>
      </c>
      <c r="E632" s="109"/>
      <c r="F632" s="109"/>
      <c r="G632" s="42">
        <f>D642+F632</f>
        <v>-1459</v>
      </c>
      <c r="H632" s="112"/>
      <c r="I632" s="111"/>
      <c r="J632" s="17">
        <f>G642+I632</f>
        <v>-1459</v>
      </c>
      <c r="K632" s="109"/>
      <c r="L632" s="109"/>
      <c r="M632" s="35">
        <f>J642+L632</f>
        <v>-1459</v>
      </c>
      <c r="N632" s="112"/>
      <c r="O632" s="111"/>
      <c r="P632" s="17">
        <f>M642+O632</f>
        <v>-1459</v>
      </c>
      <c r="Q632" s="109"/>
      <c r="R632" s="109"/>
      <c r="S632" s="54">
        <f>P642+R632</f>
        <v>-1459</v>
      </c>
      <c r="T632" s="110"/>
      <c r="U632" s="111"/>
      <c r="V632" s="48">
        <f>S642+U632</f>
        <v>-1459</v>
      </c>
      <c r="W632" s="143"/>
    </row>
    <row r="633" spans="1:23" ht="15.75" customHeight="1">
      <c r="A633" s="114"/>
      <c r="B633" s="106"/>
      <c r="C633" s="107"/>
      <c r="D633" s="26">
        <f t="shared" ref="D633:D642" si="371">D632+C633</f>
        <v>-1459</v>
      </c>
      <c r="E633" s="117"/>
      <c r="F633" s="117"/>
      <c r="G633" s="19">
        <f t="shared" ref="G633:G642" si="372">G632+F633</f>
        <v>-1459</v>
      </c>
      <c r="H633" s="106"/>
      <c r="I633" s="107"/>
      <c r="J633" s="26">
        <f t="shared" ref="J633:J642" si="373">J632+I633</f>
        <v>-1459</v>
      </c>
      <c r="K633" s="117"/>
      <c r="L633" s="117"/>
      <c r="M633" s="38">
        <f t="shared" ref="M633:M642" si="374">M632+L633</f>
        <v>-1459</v>
      </c>
      <c r="N633" s="106"/>
      <c r="O633" s="107"/>
      <c r="P633" s="26">
        <f t="shared" ref="P633:P642" si="375">P632+O633</f>
        <v>-1459</v>
      </c>
      <c r="Q633" s="117"/>
      <c r="R633" s="117"/>
      <c r="S633" s="19">
        <f t="shared" ref="S633:S642" si="376">S632+R633</f>
        <v>-1459</v>
      </c>
      <c r="T633" s="116"/>
      <c r="U633" s="107"/>
      <c r="V633" s="20">
        <f t="shared" ref="V633:V642" si="377">V632+U633</f>
        <v>-1459</v>
      </c>
      <c r="W633" s="143"/>
    </row>
    <row r="634" spans="1:23" ht="15.75" customHeight="1">
      <c r="A634" s="114"/>
      <c r="B634" s="106"/>
      <c r="C634" s="107"/>
      <c r="D634" s="26">
        <f t="shared" si="371"/>
        <v>-1459</v>
      </c>
      <c r="E634" s="117"/>
      <c r="F634" s="117"/>
      <c r="G634" s="19">
        <f t="shared" si="372"/>
        <v>-1459</v>
      </c>
      <c r="H634" s="106"/>
      <c r="I634" s="107"/>
      <c r="J634" s="26">
        <f t="shared" si="373"/>
        <v>-1459</v>
      </c>
      <c r="K634" s="117"/>
      <c r="L634" s="117"/>
      <c r="M634" s="38">
        <f t="shared" si="374"/>
        <v>-1459</v>
      </c>
      <c r="N634" s="106"/>
      <c r="O634" s="107"/>
      <c r="P634" s="26">
        <f t="shared" si="375"/>
        <v>-1459</v>
      </c>
      <c r="Q634" s="117"/>
      <c r="R634" s="117"/>
      <c r="S634" s="19">
        <f t="shared" si="376"/>
        <v>-1459</v>
      </c>
      <c r="T634" s="116"/>
      <c r="U634" s="116"/>
      <c r="V634" s="20">
        <f t="shared" si="377"/>
        <v>-1459</v>
      </c>
      <c r="W634" s="143"/>
    </row>
    <row r="635" spans="1:23" ht="15.75" customHeight="1">
      <c r="A635" s="114"/>
      <c r="B635" s="106"/>
      <c r="C635" s="107"/>
      <c r="D635" s="26">
        <f t="shared" si="371"/>
        <v>-1459</v>
      </c>
      <c r="E635" s="117"/>
      <c r="F635" s="117"/>
      <c r="G635" s="19">
        <f t="shared" si="372"/>
        <v>-1459</v>
      </c>
      <c r="H635" s="106"/>
      <c r="I635" s="107"/>
      <c r="J635" s="26">
        <f t="shared" si="373"/>
        <v>-1459</v>
      </c>
      <c r="K635" s="117"/>
      <c r="L635" s="117"/>
      <c r="M635" s="38">
        <f t="shared" si="374"/>
        <v>-1459</v>
      </c>
      <c r="N635" s="106"/>
      <c r="O635" s="107"/>
      <c r="P635" s="26">
        <f t="shared" si="375"/>
        <v>-1459</v>
      </c>
      <c r="Q635" s="117"/>
      <c r="R635" s="117"/>
      <c r="S635" s="19">
        <f t="shared" si="376"/>
        <v>-1459</v>
      </c>
      <c r="T635" s="116"/>
      <c r="U635" s="116"/>
      <c r="V635" s="20">
        <f t="shared" si="377"/>
        <v>-1459</v>
      </c>
      <c r="W635" s="143"/>
    </row>
    <row r="636" spans="1:23" ht="15.75" customHeight="1">
      <c r="A636" s="114"/>
      <c r="B636" s="106"/>
      <c r="C636" s="107"/>
      <c r="D636" s="26">
        <f t="shared" si="371"/>
        <v>-1459</v>
      </c>
      <c r="E636" s="117"/>
      <c r="F636" s="117"/>
      <c r="G636" s="19">
        <f t="shared" si="372"/>
        <v>-1459</v>
      </c>
      <c r="H636" s="106"/>
      <c r="I636" s="107"/>
      <c r="J636" s="26">
        <f t="shared" si="373"/>
        <v>-1459</v>
      </c>
      <c r="K636" s="117"/>
      <c r="L636" s="117"/>
      <c r="M636" s="38">
        <f t="shared" si="374"/>
        <v>-1459</v>
      </c>
      <c r="N636" s="106"/>
      <c r="O636" s="107"/>
      <c r="P636" s="26">
        <f t="shared" si="375"/>
        <v>-1459</v>
      </c>
      <c r="Q636" s="117"/>
      <c r="R636" s="117"/>
      <c r="S636" s="19">
        <f t="shared" si="376"/>
        <v>-1459</v>
      </c>
      <c r="T636" s="116"/>
      <c r="U636" s="116"/>
      <c r="V636" s="20">
        <f t="shared" si="377"/>
        <v>-1459</v>
      </c>
      <c r="W636" s="143"/>
    </row>
    <row r="637" spans="1:23" ht="15.75" customHeight="1">
      <c r="A637" s="114"/>
      <c r="B637" s="106"/>
      <c r="C637" s="107"/>
      <c r="D637" s="26">
        <f t="shared" si="371"/>
        <v>-1459</v>
      </c>
      <c r="E637" s="117"/>
      <c r="F637" s="117"/>
      <c r="G637" s="19">
        <f t="shared" si="372"/>
        <v>-1459</v>
      </c>
      <c r="H637" s="106"/>
      <c r="I637" s="107"/>
      <c r="J637" s="26">
        <f t="shared" si="373"/>
        <v>-1459</v>
      </c>
      <c r="K637" s="117"/>
      <c r="L637" s="117"/>
      <c r="M637" s="38">
        <f t="shared" si="374"/>
        <v>-1459</v>
      </c>
      <c r="N637" s="106"/>
      <c r="O637" s="107"/>
      <c r="P637" s="26">
        <f t="shared" si="375"/>
        <v>-1459</v>
      </c>
      <c r="Q637" s="117"/>
      <c r="R637" s="117"/>
      <c r="S637" s="19">
        <f t="shared" si="376"/>
        <v>-1459</v>
      </c>
      <c r="T637" s="116"/>
      <c r="U637" s="116"/>
      <c r="V637" s="20">
        <f t="shared" si="377"/>
        <v>-1459</v>
      </c>
      <c r="W637" s="143"/>
    </row>
    <row r="638" spans="1:23" ht="15.75" customHeight="1">
      <c r="A638" s="114"/>
      <c r="B638" s="106"/>
      <c r="C638" s="107"/>
      <c r="D638" s="26">
        <f t="shared" si="371"/>
        <v>-1459</v>
      </c>
      <c r="E638" s="117"/>
      <c r="F638" s="117"/>
      <c r="G638" s="19">
        <f t="shared" si="372"/>
        <v>-1459</v>
      </c>
      <c r="H638" s="106"/>
      <c r="I638" s="107"/>
      <c r="J638" s="26">
        <f t="shared" si="373"/>
        <v>-1459</v>
      </c>
      <c r="K638" s="117"/>
      <c r="L638" s="117"/>
      <c r="M638" s="38">
        <f t="shared" si="374"/>
        <v>-1459</v>
      </c>
      <c r="N638" s="106"/>
      <c r="O638" s="107"/>
      <c r="P638" s="26">
        <f t="shared" si="375"/>
        <v>-1459</v>
      </c>
      <c r="Q638" s="117"/>
      <c r="R638" s="117"/>
      <c r="S638" s="19">
        <f t="shared" si="376"/>
        <v>-1459</v>
      </c>
      <c r="T638" s="116"/>
      <c r="U638" s="116"/>
      <c r="V638" s="20">
        <f t="shared" si="377"/>
        <v>-1459</v>
      </c>
      <c r="W638" s="143"/>
    </row>
    <row r="639" spans="1:23" ht="15.75" customHeight="1">
      <c r="A639" s="114"/>
      <c r="B639" s="106"/>
      <c r="C639" s="107"/>
      <c r="D639" s="26">
        <f t="shared" si="371"/>
        <v>-1459</v>
      </c>
      <c r="E639" s="117"/>
      <c r="F639" s="117"/>
      <c r="G639" s="19">
        <f t="shared" si="372"/>
        <v>-1459</v>
      </c>
      <c r="H639" s="106"/>
      <c r="I639" s="107"/>
      <c r="J639" s="26">
        <f t="shared" si="373"/>
        <v>-1459</v>
      </c>
      <c r="K639" s="117"/>
      <c r="L639" s="117"/>
      <c r="M639" s="38">
        <f t="shared" si="374"/>
        <v>-1459</v>
      </c>
      <c r="N639" s="106"/>
      <c r="O639" s="107"/>
      <c r="P639" s="26">
        <f t="shared" si="375"/>
        <v>-1459</v>
      </c>
      <c r="Q639" s="117"/>
      <c r="R639" s="117"/>
      <c r="S639" s="19">
        <f t="shared" si="376"/>
        <v>-1459</v>
      </c>
      <c r="T639" s="116"/>
      <c r="U639" s="116"/>
      <c r="V639" s="20">
        <f t="shared" si="377"/>
        <v>-1459</v>
      </c>
      <c r="W639" s="143"/>
    </row>
    <row r="640" spans="1:23" ht="15.75" customHeight="1">
      <c r="A640" s="114"/>
      <c r="B640" s="122"/>
      <c r="C640" s="123"/>
      <c r="D640" s="26">
        <f t="shared" si="371"/>
        <v>-1459</v>
      </c>
      <c r="E640" s="117"/>
      <c r="F640" s="117"/>
      <c r="G640" s="19">
        <f t="shared" si="372"/>
        <v>-1459</v>
      </c>
      <c r="H640" s="122"/>
      <c r="I640" s="123"/>
      <c r="J640" s="26">
        <f t="shared" si="373"/>
        <v>-1459</v>
      </c>
      <c r="K640" s="117"/>
      <c r="L640" s="117"/>
      <c r="M640" s="38">
        <f t="shared" si="374"/>
        <v>-1459</v>
      </c>
      <c r="N640" s="122"/>
      <c r="O640" s="123"/>
      <c r="P640" s="26">
        <f t="shared" si="375"/>
        <v>-1459</v>
      </c>
      <c r="Q640" s="117"/>
      <c r="R640" s="117"/>
      <c r="S640" s="19">
        <f t="shared" si="376"/>
        <v>-1459</v>
      </c>
      <c r="T640" s="116"/>
      <c r="U640" s="116"/>
      <c r="V640" s="20">
        <f t="shared" si="377"/>
        <v>-1459</v>
      </c>
      <c r="W640" s="143"/>
    </row>
    <row r="641" spans="1:23" ht="15.75" customHeight="1">
      <c r="A641" s="114"/>
      <c r="B641" s="122"/>
      <c r="C641" s="123"/>
      <c r="D641" s="26">
        <f t="shared" si="371"/>
        <v>-1459</v>
      </c>
      <c r="E641" s="117"/>
      <c r="F641" s="117"/>
      <c r="G641" s="19">
        <f t="shared" si="372"/>
        <v>-1459</v>
      </c>
      <c r="H641" s="122"/>
      <c r="I641" s="123"/>
      <c r="J641" s="26">
        <f t="shared" si="373"/>
        <v>-1459</v>
      </c>
      <c r="K641" s="117"/>
      <c r="L641" s="117"/>
      <c r="M641" s="38">
        <f t="shared" si="374"/>
        <v>-1459</v>
      </c>
      <c r="N641" s="122"/>
      <c r="O641" s="123"/>
      <c r="P641" s="26">
        <f t="shared" si="375"/>
        <v>-1459</v>
      </c>
      <c r="Q641" s="117"/>
      <c r="R641" s="117"/>
      <c r="S641" s="19">
        <f t="shared" si="376"/>
        <v>-1459</v>
      </c>
      <c r="T641" s="124"/>
      <c r="U641" s="124"/>
      <c r="V641" s="20">
        <f t="shared" si="377"/>
        <v>-1459</v>
      </c>
      <c r="W641" s="143"/>
    </row>
    <row r="642" spans="1:23" ht="15.75" customHeight="1">
      <c r="A642" s="114"/>
      <c r="B642" s="126"/>
      <c r="C642" s="127"/>
      <c r="D642" s="59">
        <f t="shared" si="371"/>
        <v>-1459</v>
      </c>
      <c r="E642" s="157"/>
      <c r="F642" s="157"/>
      <c r="G642" s="60">
        <f t="shared" si="372"/>
        <v>-1459</v>
      </c>
      <c r="H642" s="126"/>
      <c r="I642" s="127"/>
      <c r="J642" s="59">
        <f t="shared" si="373"/>
        <v>-1459</v>
      </c>
      <c r="K642" s="157"/>
      <c r="L642" s="157"/>
      <c r="M642" s="61">
        <f t="shared" si="374"/>
        <v>-1459</v>
      </c>
      <c r="N642" s="126"/>
      <c r="O642" s="127"/>
      <c r="P642" s="59">
        <f t="shared" si="375"/>
        <v>-1459</v>
      </c>
      <c r="Q642" s="157"/>
      <c r="R642" s="157"/>
      <c r="S642" s="55">
        <f t="shared" si="376"/>
        <v>-1459</v>
      </c>
      <c r="T642" s="181"/>
      <c r="U642" s="127"/>
      <c r="V642" s="62">
        <f t="shared" si="377"/>
        <v>-1459</v>
      </c>
      <c r="W642" s="143"/>
    </row>
    <row r="643" spans="1:23" ht="15.75" customHeight="1">
      <c r="A643" s="5"/>
      <c r="B643" s="74"/>
      <c r="C643" s="65"/>
      <c r="D643" s="66"/>
      <c r="E643" s="74"/>
      <c r="F643" s="65"/>
      <c r="G643" s="66"/>
      <c r="H643" s="74"/>
      <c r="I643" s="65"/>
      <c r="J643" s="66"/>
      <c r="K643" s="74"/>
      <c r="L643" s="65"/>
      <c r="M643" s="66"/>
      <c r="N643" s="74"/>
      <c r="O643" s="65"/>
      <c r="P643" s="66"/>
      <c r="Q643" s="74"/>
      <c r="R643" s="65"/>
      <c r="S643" s="66"/>
      <c r="T643" s="75"/>
      <c r="U643" s="65"/>
      <c r="V643" s="76"/>
      <c r="W643" s="6"/>
    </row>
    <row r="644" spans="1:23" ht="15.75" customHeight="1">
      <c r="A644" s="2"/>
    </row>
    <row r="645" spans="1:23" ht="15.75" customHeight="1">
      <c r="A645" s="2"/>
    </row>
    <row r="646" spans="1:23" ht="15.75" customHeight="1">
      <c r="A646" s="2"/>
    </row>
    <row r="647" spans="1:23" ht="15.75" customHeight="1">
      <c r="A647" s="2"/>
    </row>
    <row r="648" spans="1:23" ht="15.75" customHeight="1">
      <c r="A648" s="2"/>
    </row>
    <row r="649" spans="1:23" ht="15.75" customHeight="1">
      <c r="A649" s="2"/>
    </row>
    <row r="650" spans="1:23" ht="15.75" customHeight="1">
      <c r="A650" s="2"/>
    </row>
    <row r="651" spans="1:23" ht="15.75" customHeight="1">
      <c r="A651" s="2"/>
      <c r="I651" s="3" t="s">
        <v>120</v>
      </c>
    </row>
    <row r="652" spans="1:23" ht="15.75" customHeight="1">
      <c r="A652" s="2"/>
    </row>
    <row r="653" spans="1:23" ht="15.75" customHeight="1">
      <c r="A653" s="2"/>
    </row>
    <row r="654" spans="1:23" ht="15.75" customHeight="1">
      <c r="A654" s="2"/>
    </row>
    <row r="655" spans="1:23" ht="15.75" customHeight="1">
      <c r="A655" s="2"/>
    </row>
    <row r="656" spans="1:23"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386">
    <mergeCell ref="E547:G547"/>
    <mergeCell ref="H547:J547"/>
    <mergeCell ref="K547:M547"/>
    <mergeCell ref="N547:P547"/>
    <mergeCell ref="Q547:S547"/>
    <mergeCell ref="T547:V547"/>
    <mergeCell ref="B547:D547"/>
    <mergeCell ref="E559:G559"/>
    <mergeCell ref="H559:J559"/>
    <mergeCell ref="K559:M559"/>
    <mergeCell ref="N559:P559"/>
    <mergeCell ref="Q559:S559"/>
    <mergeCell ref="T559:V559"/>
    <mergeCell ref="E523:G523"/>
    <mergeCell ref="H523:J523"/>
    <mergeCell ref="K523:M523"/>
    <mergeCell ref="N523:P523"/>
    <mergeCell ref="Q523:S523"/>
    <mergeCell ref="T523:V523"/>
    <mergeCell ref="B523:D523"/>
    <mergeCell ref="E535:G535"/>
    <mergeCell ref="H535:J535"/>
    <mergeCell ref="K535:M535"/>
    <mergeCell ref="N535:P535"/>
    <mergeCell ref="Q535:S535"/>
    <mergeCell ref="T535:V535"/>
    <mergeCell ref="B535:D535"/>
    <mergeCell ref="E499:G499"/>
    <mergeCell ref="H499:J499"/>
    <mergeCell ref="K499:M499"/>
    <mergeCell ref="N499:P499"/>
    <mergeCell ref="Q499:S499"/>
    <mergeCell ref="T499:V499"/>
    <mergeCell ref="B499:D499"/>
    <mergeCell ref="E511:G511"/>
    <mergeCell ref="H511:J511"/>
    <mergeCell ref="K511:M511"/>
    <mergeCell ref="N511:P511"/>
    <mergeCell ref="Q511:S511"/>
    <mergeCell ref="T511:V511"/>
    <mergeCell ref="B511:D511"/>
    <mergeCell ref="E475:G475"/>
    <mergeCell ref="H475:J475"/>
    <mergeCell ref="K475:M475"/>
    <mergeCell ref="N475:P475"/>
    <mergeCell ref="Q475:S475"/>
    <mergeCell ref="T475:V475"/>
    <mergeCell ref="B475:D475"/>
    <mergeCell ref="E487:G487"/>
    <mergeCell ref="H487:J487"/>
    <mergeCell ref="K487:M487"/>
    <mergeCell ref="N487:P487"/>
    <mergeCell ref="Q487:S487"/>
    <mergeCell ref="T487:V487"/>
    <mergeCell ref="B487:D487"/>
    <mergeCell ref="E451:G451"/>
    <mergeCell ref="H451:J451"/>
    <mergeCell ref="K451:M451"/>
    <mergeCell ref="N451:P451"/>
    <mergeCell ref="Q451:S451"/>
    <mergeCell ref="T451:V451"/>
    <mergeCell ref="B451:D451"/>
    <mergeCell ref="E463:G463"/>
    <mergeCell ref="H463:J463"/>
    <mergeCell ref="K463:M463"/>
    <mergeCell ref="N463:P463"/>
    <mergeCell ref="Q463:S463"/>
    <mergeCell ref="T463:V463"/>
    <mergeCell ref="B463:D463"/>
    <mergeCell ref="K427:M427"/>
    <mergeCell ref="N427:P427"/>
    <mergeCell ref="Q427:S427"/>
    <mergeCell ref="T427:V427"/>
    <mergeCell ref="B427:D427"/>
    <mergeCell ref="E439:G439"/>
    <mergeCell ref="H439:J439"/>
    <mergeCell ref="K439:M439"/>
    <mergeCell ref="N439:P439"/>
    <mergeCell ref="Q439:S439"/>
    <mergeCell ref="T439:V439"/>
    <mergeCell ref="B439:D439"/>
    <mergeCell ref="B643:D643"/>
    <mergeCell ref="E643:G643"/>
    <mergeCell ref="H643:J643"/>
    <mergeCell ref="K643:M643"/>
    <mergeCell ref="N643:P643"/>
    <mergeCell ref="Q643:S643"/>
    <mergeCell ref="T643:V643"/>
    <mergeCell ref="B391:D391"/>
    <mergeCell ref="E403:G403"/>
    <mergeCell ref="H403:J403"/>
    <mergeCell ref="K403:M403"/>
    <mergeCell ref="N403:P403"/>
    <mergeCell ref="Q403:S403"/>
    <mergeCell ref="T403:V403"/>
    <mergeCell ref="B403:D403"/>
    <mergeCell ref="E415:G415"/>
    <mergeCell ref="H415:J415"/>
    <mergeCell ref="K415:M415"/>
    <mergeCell ref="N415:P415"/>
    <mergeCell ref="Q415:S415"/>
    <mergeCell ref="T415:V415"/>
    <mergeCell ref="B415:D415"/>
    <mergeCell ref="E427:G427"/>
    <mergeCell ref="H427:J427"/>
    <mergeCell ref="E45:G45"/>
    <mergeCell ref="H45:J45"/>
    <mergeCell ref="K45:M45"/>
    <mergeCell ref="N45:P45"/>
    <mergeCell ref="Q45:S45"/>
    <mergeCell ref="T45:V45"/>
    <mergeCell ref="B45:D45"/>
    <mergeCell ref="E57:G57"/>
    <mergeCell ref="H57:J57"/>
    <mergeCell ref="K57:M57"/>
    <mergeCell ref="N57:P57"/>
    <mergeCell ref="Q57:S57"/>
    <mergeCell ref="T57:V57"/>
    <mergeCell ref="E23:G23"/>
    <mergeCell ref="H23:J23"/>
    <mergeCell ref="K23:M23"/>
    <mergeCell ref="N23:P23"/>
    <mergeCell ref="Q23:S23"/>
    <mergeCell ref="T23:V23"/>
    <mergeCell ref="B23:D23"/>
    <mergeCell ref="E34:G34"/>
    <mergeCell ref="H34:J34"/>
    <mergeCell ref="K34:M34"/>
    <mergeCell ref="N34:P34"/>
    <mergeCell ref="Q34:S34"/>
    <mergeCell ref="T34:V34"/>
    <mergeCell ref="B34:D34"/>
    <mergeCell ref="B1:V1"/>
    <mergeCell ref="E2:G2"/>
    <mergeCell ref="H2:J2"/>
    <mergeCell ref="K2:M2"/>
    <mergeCell ref="N2:P2"/>
    <mergeCell ref="Q2:S2"/>
    <mergeCell ref="T2:V2"/>
    <mergeCell ref="B2:D2"/>
    <mergeCell ref="E12:G12"/>
    <mergeCell ref="H12:J12"/>
    <mergeCell ref="K12:M12"/>
    <mergeCell ref="N12:P12"/>
    <mergeCell ref="Q12:S12"/>
    <mergeCell ref="T12:V12"/>
    <mergeCell ref="B12:D12"/>
    <mergeCell ref="E619:G619"/>
    <mergeCell ref="H619:J619"/>
    <mergeCell ref="K619:M619"/>
    <mergeCell ref="N619:P619"/>
    <mergeCell ref="Q619:S619"/>
    <mergeCell ref="T619:V619"/>
    <mergeCell ref="B619:D619"/>
    <mergeCell ref="E631:G631"/>
    <mergeCell ref="H631:J631"/>
    <mergeCell ref="K631:M631"/>
    <mergeCell ref="N631:P631"/>
    <mergeCell ref="Q631:S631"/>
    <mergeCell ref="T631:V631"/>
    <mergeCell ref="B631:D631"/>
    <mergeCell ref="E595:G595"/>
    <mergeCell ref="H595:J595"/>
    <mergeCell ref="K595:M595"/>
    <mergeCell ref="N595:P595"/>
    <mergeCell ref="Q595:S595"/>
    <mergeCell ref="T595:V595"/>
    <mergeCell ref="B595:D595"/>
    <mergeCell ref="E607:G607"/>
    <mergeCell ref="H607:J607"/>
    <mergeCell ref="K607:M607"/>
    <mergeCell ref="N607:P607"/>
    <mergeCell ref="Q607:S607"/>
    <mergeCell ref="T607:V607"/>
    <mergeCell ref="B607:D607"/>
    <mergeCell ref="B559:D559"/>
    <mergeCell ref="E571:G571"/>
    <mergeCell ref="H571:J571"/>
    <mergeCell ref="K571:M571"/>
    <mergeCell ref="N571:P571"/>
    <mergeCell ref="Q571:S571"/>
    <mergeCell ref="T571:V571"/>
    <mergeCell ref="B571:D571"/>
    <mergeCell ref="E583:G583"/>
    <mergeCell ref="H583:J583"/>
    <mergeCell ref="K583:M583"/>
    <mergeCell ref="N583:P583"/>
    <mergeCell ref="Q583:S583"/>
    <mergeCell ref="T583:V583"/>
    <mergeCell ref="B583:D583"/>
    <mergeCell ref="E379:G379"/>
    <mergeCell ref="H379:J379"/>
    <mergeCell ref="K379:M379"/>
    <mergeCell ref="N379:P379"/>
    <mergeCell ref="Q379:S379"/>
    <mergeCell ref="T379:V379"/>
    <mergeCell ref="B379:D379"/>
    <mergeCell ref="E391:G391"/>
    <mergeCell ref="H391:J391"/>
    <mergeCell ref="K391:M391"/>
    <mergeCell ref="N391:P391"/>
    <mergeCell ref="Q391:S391"/>
    <mergeCell ref="T391:V391"/>
    <mergeCell ref="E355:G355"/>
    <mergeCell ref="H355:J355"/>
    <mergeCell ref="K355:M355"/>
    <mergeCell ref="N355:P355"/>
    <mergeCell ref="Q355:S355"/>
    <mergeCell ref="T355:V355"/>
    <mergeCell ref="B355:D355"/>
    <mergeCell ref="E367:G367"/>
    <mergeCell ref="H367:J367"/>
    <mergeCell ref="K367:M367"/>
    <mergeCell ref="N367:P367"/>
    <mergeCell ref="Q367:S367"/>
    <mergeCell ref="T367:V367"/>
    <mergeCell ref="B367:D367"/>
    <mergeCell ref="E331:G331"/>
    <mergeCell ref="H331:J331"/>
    <mergeCell ref="K331:M331"/>
    <mergeCell ref="N331:P331"/>
    <mergeCell ref="Q331:S331"/>
    <mergeCell ref="T331:V331"/>
    <mergeCell ref="B331:D331"/>
    <mergeCell ref="E343:G343"/>
    <mergeCell ref="H343:J343"/>
    <mergeCell ref="K343:M343"/>
    <mergeCell ref="N343:P343"/>
    <mergeCell ref="Q343:S343"/>
    <mergeCell ref="T343:V343"/>
    <mergeCell ref="B343:D343"/>
    <mergeCell ref="E307:G307"/>
    <mergeCell ref="H307:J307"/>
    <mergeCell ref="K307:M307"/>
    <mergeCell ref="N307:P307"/>
    <mergeCell ref="Q307:S307"/>
    <mergeCell ref="T307:V307"/>
    <mergeCell ref="B307:D307"/>
    <mergeCell ref="E319:G319"/>
    <mergeCell ref="H319:J319"/>
    <mergeCell ref="K319:M319"/>
    <mergeCell ref="N319:P319"/>
    <mergeCell ref="Q319:S319"/>
    <mergeCell ref="T319:V319"/>
    <mergeCell ref="B319:D319"/>
    <mergeCell ref="E283:G283"/>
    <mergeCell ref="H283:J283"/>
    <mergeCell ref="K283:M283"/>
    <mergeCell ref="N283:P283"/>
    <mergeCell ref="Q283:S283"/>
    <mergeCell ref="T283:V283"/>
    <mergeCell ref="B283:D283"/>
    <mergeCell ref="E295:G295"/>
    <mergeCell ref="H295:J295"/>
    <mergeCell ref="K295:M295"/>
    <mergeCell ref="N295:P295"/>
    <mergeCell ref="Q295:S295"/>
    <mergeCell ref="T295:V295"/>
    <mergeCell ref="B295:D295"/>
    <mergeCell ref="E259:G259"/>
    <mergeCell ref="H259:J259"/>
    <mergeCell ref="K259:M259"/>
    <mergeCell ref="N259:P259"/>
    <mergeCell ref="Q259:S259"/>
    <mergeCell ref="T259:V259"/>
    <mergeCell ref="B259:D259"/>
    <mergeCell ref="E271:G271"/>
    <mergeCell ref="H271:J271"/>
    <mergeCell ref="K271:M271"/>
    <mergeCell ref="N271:P271"/>
    <mergeCell ref="Q271:S271"/>
    <mergeCell ref="T271:V271"/>
    <mergeCell ref="B271:D271"/>
    <mergeCell ref="E235:G235"/>
    <mergeCell ref="H235:J235"/>
    <mergeCell ref="K235:M235"/>
    <mergeCell ref="N235:P235"/>
    <mergeCell ref="Q235:S235"/>
    <mergeCell ref="T235:V235"/>
    <mergeCell ref="B235:D235"/>
    <mergeCell ref="E247:G247"/>
    <mergeCell ref="H247:J247"/>
    <mergeCell ref="K247:M247"/>
    <mergeCell ref="N247:P247"/>
    <mergeCell ref="Q247:S247"/>
    <mergeCell ref="T247:V247"/>
    <mergeCell ref="B247:D247"/>
    <mergeCell ref="E211:G211"/>
    <mergeCell ref="H211:J211"/>
    <mergeCell ref="K211:M211"/>
    <mergeCell ref="N211:P211"/>
    <mergeCell ref="Q211:S211"/>
    <mergeCell ref="T211:V211"/>
    <mergeCell ref="B211:D211"/>
    <mergeCell ref="E223:G223"/>
    <mergeCell ref="H223:J223"/>
    <mergeCell ref="K223:M223"/>
    <mergeCell ref="N223:P223"/>
    <mergeCell ref="Q223:S223"/>
    <mergeCell ref="T223:V223"/>
    <mergeCell ref="B223:D223"/>
    <mergeCell ref="E187:G187"/>
    <mergeCell ref="H187:J187"/>
    <mergeCell ref="K187:M187"/>
    <mergeCell ref="N187:P187"/>
    <mergeCell ref="Q187:S187"/>
    <mergeCell ref="T187:V187"/>
    <mergeCell ref="B187:D187"/>
    <mergeCell ref="E199:G199"/>
    <mergeCell ref="H199:J199"/>
    <mergeCell ref="K199:M199"/>
    <mergeCell ref="N199:P199"/>
    <mergeCell ref="Q199:S199"/>
    <mergeCell ref="T199:V199"/>
    <mergeCell ref="B199:D199"/>
    <mergeCell ref="E163:G163"/>
    <mergeCell ref="H163:J163"/>
    <mergeCell ref="K163:M163"/>
    <mergeCell ref="N163:P163"/>
    <mergeCell ref="Q163:S163"/>
    <mergeCell ref="T163:V163"/>
    <mergeCell ref="B163:D163"/>
    <mergeCell ref="E175:G175"/>
    <mergeCell ref="H175:J175"/>
    <mergeCell ref="K175:M175"/>
    <mergeCell ref="N175:P175"/>
    <mergeCell ref="Q175:S175"/>
    <mergeCell ref="T175:V175"/>
    <mergeCell ref="B175:D175"/>
    <mergeCell ref="E139:G139"/>
    <mergeCell ref="H139:J139"/>
    <mergeCell ref="K139:M139"/>
    <mergeCell ref="N139:P139"/>
    <mergeCell ref="Q139:S139"/>
    <mergeCell ref="T139:V139"/>
    <mergeCell ref="B139:D139"/>
    <mergeCell ref="E151:G151"/>
    <mergeCell ref="H151:J151"/>
    <mergeCell ref="K151:M151"/>
    <mergeCell ref="N151:P151"/>
    <mergeCell ref="Q151:S151"/>
    <mergeCell ref="T151:V151"/>
    <mergeCell ref="B151:D151"/>
    <mergeCell ref="E115:G115"/>
    <mergeCell ref="H115:J115"/>
    <mergeCell ref="K115:M115"/>
    <mergeCell ref="N115:P115"/>
    <mergeCell ref="Q115:S115"/>
    <mergeCell ref="T115:V115"/>
    <mergeCell ref="B115:D115"/>
    <mergeCell ref="E127:G127"/>
    <mergeCell ref="H127:J127"/>
    <mergeCell ref="K127:M127"/>
    <mergeCell ref="N127:P127"/>
    <mergeCell ref="Q127:S127"/>
    <mergeCell ref="T127:V127"/>
    <mergeCell ref="B127:D127"/>
    <mergeCell ref="E91:G91"/>
    <mergeCell ref="H91:J91"/>
    <mergeCell ref="K91:M91"/>
    <mergeCell ref="N91:P91"/>
    <mergeCell ref="Q91:S91"/>
    <mergeCell ref="T91:V91"/>
    <mergeCell ref="B91:D91"/>
    <mergeCell ref="E103:G103"/>
    <mergeCell ref="H103:J103"/>
    <mergeCell ref="K103:M103"/>
    <mergeCell ref="N103:P103"/>
    <mergeCell ref="Q103:S103"/>
    <mergeCell ref="T103:V103"/>
    <mergeCell ref="B103:D103"/>
    <mergeCell ref="B57:D57"/>
    <mergeCell ref="E67:G67"/>
    <mergeCell ref="H67:J67"/>
    <mergeCell ref="K67:M67"/>
    <mergeCell ref="N67:P67"/>
    <mergeCell ref="Q67:S67"/>
    <mergeCell ref="T67:V67"/>
    <mergeCell ref="B67:D67"/>
    <mergeCell ref="E79:G79"/>
    <mergeCell ref="H79:J79"/>
    <mergeCell ref="K79:M79"/>
    <mergeCell ref="N79:P79"/>
    <mergeCell ref="Q79:S79"/>
    <mergeCell ref="T79:V79"/>
    <mergeCell ref="B79:D79"/>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zoomScale="70" zoomScaleNormal="70" workbookViewId="0">
      <selection sqref="A1:W642"/>
    </sheetView>
  </sheetViews>
  <sheetFormatPr defaultColWidth="14.453125" defaultRowHeight="15" customHeight="1"/>
  <cols>
    <col min="1" max="1" width="18.0898437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3" ht="58.5" customHeight="1">
      <c r="A1" s="85"/>
      <c r="B1" s="73" t="s">
        <v>187</v>
      </c>
      <c r="C1" s="81"/>
      <c r="D1" s="81"/>
      <c r="E1" s="81"/>
      <c r="F1" s="81"/>
      <c r="G1" s="81"/>
      <c r="H1" s="81"/>
      <c r="I1" s="81"/>
      <c r="J1" s="81"/>
      <c r="K1" s="81"/>
      <c r="L1" s="81"/>
      <c r="M1" s="81"/>
      <c r="N1" s="81"/>
      <c r="O1" s="81"/>
      <c r="P1" s="81"/>
      <c r="Q1" s="81"/>
      <c r="R1" s="81"/>
      <c r="S1" s="81"/>
      <c r="T1" s="81"/>
      <c r="U1" s="81"/>
      <c r="V1" s="82"/>
      <c r="W1" s="84"/>
    </row>
    <row r="2" spans="1:23" ht="22.5" customHeight="1">
      <c r="A2" s="85"/>
      <c r="B2" s="78" t="s">
        <v>188</v>
      </c>
      <c r="C2" s="81"/>
      <c r="D2" s="82"/>
      <c r="E2" s="77">
        <f>DATE(
  VALUE(LEFT($B$2,4)),
  VALUE(MID($B$2,6,2)),
  VALUE(RIGHT($B$2,2))
)
+ INT((COLUMN()-COLUMN($B2))/3)</f>
        <v>47119</v>
      </c>
      <c r="F2" s="81"/>
      <c r="G2" s="82"/>
      <c r="H2" s="77">
        <f>DATE(
  VALUE(LEFT($B$2,4)),
  VALUE(MID($B$2,6,2)),
  VALUE(RIGHT($B$2,2))
)
+ INT((COLUMN()-COLUMN($B2))/3)</f>
        <v>47120</v>
      </c>
      <c r="I2" s="81"/>
      <c r="J2" s="82"/>
      <c r="K2" s="77">
        <f>DATE(
  VALUE(LEFT($B$2,4)),
  VALUE(MID($B$2,6,2)),
  VALUE(RIGHT($B$2,2))
)
+ INT((COLUMN()-COLUMN($B2))/3)</f>
        <v>47121</v>
      </c>
      <c r="L2" s="81"/>
      <c r="M2" s="82"/>
      <c r="N2" s="77">
        <f>DATE(
  VALUE(LEFT($B$2,4)),
  VALUE(MID($B$2,6,2)),
  VALUE(RIGHT($B$2,2))
)
+ INT((COLUMN()-COLUMN($B2))/3)</f>
        <v>47122</v>
      </c>
      <c r="O2" s="81"/>
      <c r="P2" s="82"/>
      <c r="Q2" s="77">
        <f>DATE(
  VALUE(LEFT($B$2,4)),
  VALUE(MID($B$2,6,2)),
  VALUE(RIGHT($B$2,2))
)
+ INT((COLUMN()-COLUMN($B2))/3)</f>
        <v>47123</v>
      </c>
      <c r="R2" s="81"/>
      <c r="S2" s="82"/>
      <c r="T2" s="77">
        <f>DATE(
  VALUE(LEFT($B$2,4)),
  VALUE(MID($B$2,6,2)),
  VALUE(RIGHT($B$2,2))
)
+ INT((COLUMN()-COLUMN($B2))/3)</f>
        <v>47124</v>
      </c>
      <c r="U2" s="81"/>
      <c r="V2" s="82"/>
      <c r="W2" s="86" t="s">
        <v>2</v>
      </c>
    </row>
    <row r="3" spans="1:23" ht="17.25" customHeight="1">
      <c r="A3" s="7" t="s">
        <v>21</v>
      </c>
      <c r="B3" s="8" t="s">
        <v>123</v>
      </c>
      <c r="C3" s="9" t="s">
        <v>124</v>
      </c>
      <c r="D3" s="10" t="s">
        <v>125</v>
      </c>
      <c r="E3" s="11" t="s">
        <v>123</v>
      </c>
      <c r="F3" s="12" t="s">
        <v>124</v>
      </c>
      <c r="G3" s="13" t="s">
        <v>125</v>
      </c>
      <c r="H3" s="11" t="s">
        <v>123</v>
      </c>
      <c r="I3" s="12" t="s">
        <v>124</v>
      </c>
      <c r="J3" s="13" t="s">
        <v>125</v>
      </c>
      <c r="K3" s="11" t="s">
        <v>123</v>
      </c>
      <c r="L3" s="12" t="s">
        <v>124</v>
      </c>
      <c r="M3" s="13" t="s">
        <v>125</v>
      </c>
      <c r="N3" s="11" t="s">
        <v>123</v>
      </c>
      <c r="O3" s="12" t="s">
        <v>124</v>
      </c>
      <c r="P3" s="13" t="s">
        <v>125</v>
      </c>
      <c r="Q3" s="11" t="s">
        <v>123</v>
      </c>
      <c r="R3" s="12" t="s">
        <v>124</v>
      </c>
      <c r="S3" s="13" t="s">
        <v>125</v>
      </c>
      <c r="T3" s="11" t="s">
        <v>123</v>
      </c>
      <c r="U3" s="12" t="s">
        <v>124</v>
      </c>
      <c r="V3" s="13" t="s">
        <v>125</v>
      </c>
      <c r="W3" s="90" t="s">
        <v>4</v>
      </c>
    </row>
    <row r="4" spans="1:23" ht="15" customHeight="1">
      <c r="A4" s="14" t="s">
        <v>126</v>
      </c>
      <c r="B4" s="117"/>
      <c r="C4" s="117"/>
      <c r="D4" s="15" t="s">
        <v>127</v>
      </c>
      <c r="E4" s="16" t="s">
        <v>128</v>
      </c>
      <c r="F4" s="111"/>
      <c r="G4" s="17">
        <f>SUM(D11+F4)</f>
        <v>1</v>
      </c>
      <c r="H4" s="117"/>
      <c r="I4" s="117"/>
      <c r="J4" s="15">
        <f>G11+I4</f>
        <v>1</v>
      </c>
      <c r="K4" s="112"/>
      <c r="L4" s="111"/>
      <c r="M4" s="18">
        <f>J11+L4</f>
        <v>1</v>
      </c>
      <c r="N4" s="118"/>
      <c r="O4" s="117"/>
      <c r="P4" s="15">
        <f>M11+O4</f>
        <v>1</v>
      </c>
      <c r="Q4" s="112"/>
      <c r="R4" s="111"/>
      <c r="S4" s="18">
        <f>P11+R4</f>
        <v>-724</v>
      </c>
      <c r="T4" s="118"/>
      <c r="U4" s="117"/>
      <c r="V4" s="15">
        <f>S11+U4</f>
        <v>-724</v>
      </c>
      <c r="W4" s="95"/>
    </row>
    <row r="5" spans="1:23" ht="15" customHeight="1">
      <c r="A5" s="91"/>
      <c r="B5" s="117"/>
      <c r="C5" s="117"/>
      <c r="D5" s="19" t="s">
        <v>129</v>
      </c>
      <c r="E5" s="16" t="s">
        <v>130</v>
      </c>
      <c r="F5" s="107"/>
      <c r="G5" s="17">
        <f t="shared" ref="G5:G11" si="0">SUM(G4+F5)</f>
        <v>1</v>
      </c>
      <c r="H5" s="117"/>
      <c r="I5" s="117"/>
      <c r="J5" s="19">
        <f t="shared" ref="J5:J11" si="1">J4+I5</f>
        <v>1</v>
      </c>
      <c r="K5" s="106"/>
      <c r="L5" s="107"/>
      <c r="M5" s="20">
        <f t="shared" ref="M5:M11" si="2">M4+L5</f>
        <v>1</v>
      </c>
      <c r="N5" s="21" t="s">
        <v>30</v>
      </c>
      <c r="O5" s="22">
        <v>-725</v>
      </c>
      <c r="P5" s="19">
        <f t="shared" ref="P5:P11" si="3">P4+O5</f>
        <v>-724</v>
      </c>
      <c r="Q5" s="106"/>
      <c r="R5" s="107"/>
      <c r="S5" s="23">
        <f t="shared" ref="S5:S11" si="4">S4+R5</f>
        <v>-724</v>
      </c>
      <c r="T5" s="118"/>
      <c r="U5" s="117"/>
      <c r="V5" s="19">
        <f t="shared" ref="V5:V11" si="5">V4+U5</f>
        <v>-724</v>
      </c>
      <c r="W5" s="96" t="s">
        <v>5</v>
      </c>
    </row>
    <row r="6" spans="1:23" ht="15" customHeight="1">
      <c r="A6" s="91"/>
      <c r="B6" s="24" t="s">
        <v>131</v>
      </c>
      <c r="C6" s="161"/>
      <c r="D6" s="25" t="s">
        <v>129</v>
      </c>
      <c r="E6" s="16" t="s">
        <v>132</v>
      </c>
      <c r="F6" s="107"/>
      <c r="G6" s="17">
        <f t="shared" si="0"/>
        <v>1</v>
      </c>
      <c r="H6" s="117"/>
      <c r="I6" s="117"/>
      <c r="J6" s="19">
        <f t="shared" si="1"/>
        <v>1</v>
      </c>
      <c r="K6" s="106"/>
      <c r="L6" s="107"/>
      <c r="M6" s="26">
        <f t="shared" si="2"/>
        <v>1</v>
      </c>
      <c r="N6" s="118"/>
      <c r="O6" s="117"/>
      <c r="P6" s="19">
        <f t="shared" si="3"/>
        <v>-724</v>
      </c>
      <c r="Q6" s="106"/>
      <c r="R6" s="107"/>
      <c r="S6" s="23">
        <f t="shared" si="4"/>
        <v>-724</v>
      </c>
      <c r="T6" s="118"/>
      <c r="U6" s="117"/>
      <c r="V6" s="19">
        <f t="shared" si="5"/>
        <v>-724</v>
      </c>
      <c r="W6" s="96" t="s">
        <v>6</v>
      </c>
    </row>
    <row r="7" spans="1:23" ht="15" customHeight="1">
      <c r="A7" s="91"/>
      <c r="B7" s="27" t="s">
        <v>125</v>
      </c>
      <c r="C7" s="161"/>
      <c r="D7" s="25">
        <v>1</v>
      </c>
      <c r="E7" s="106"/>
      <c r="F7" s="107"/>
      <c r="G7" s="17">
        <f t="shared" si="0"/>
        <v>1</v>
      </c>
      <c r="H7" s="117"/>
      <c r="I7" s="117"/>
      <c r="J7" s="19">
        <f t="shared" si="1"/>
        <v>1</v>
      </c>
      <c r="K7" s="106"/>
      <c r="L7" s="107"/>
      <c r="M7" s="26">
        <f t="shared" si="2"/>
        <v>1</v>
      </c>
      <c r="N7" s="118"/>
      <c r="O7" s="117"/>
      <c r="P7" s="19">
        <f t="shared" si="3"/>
        <v>-724</v>
      </c>
      <c r="Q7" s="106"/>
      <c r="R7" s="107"/>
      <c r="S7" s="23">
        <f t="shared" si="4"/>
        <v>-724</v>
      </c>
      <c r="T7" s="118"/>
      <c r="U7" s="117"/>
      <c r="V7" s="19">
        <f t="shared" si="5"/>
        <v>-724</v>
      </c>
      <c r="W7" s="96" t="s">
        <v>7</v>
      </c>
    </row>
    <row r="8" spans="1:23" ht="15" customHeight="1">
      <c r="A8" s="91"/>
      <c r="B8" s="118"/>
      <c r="C8" s="117"/>
      <c r="D8" s="19">
        <f t="shared" ref="D8:D11" si="6">D7+C8</f>
        <v>1</v>
      </c>
      <c r="E8" s="28" t="s">
        <v>133</v>
      </c>
      <c r="F8" s="107"/>
      <c r="G8" s="17">
        <f t="shared" si="0"/>
        <v>1</v>
      </c>
      <c r="H8" s="117"/>
      <c r="I8" s="117"/>
      <c r="J8" s="19">
        <f t="shared" si="1"/>
        <v>1</v>
      </c>
      <c r="K8" s="106"/>
      <c r="L8" s="107"/>
      <c r="M8" s="23">
        <f t="shared" si="2"/>
        <v>1</v>
      </c>
      <c r="N8" s="118"/>
      <c r="O8" s="117"/>
      <c r="P8" s="19">
        <f t="shared" si="3"/>
        <v>-724</v>
      </c>
      <c r="Q8" s="106"/>
      <c r="R8" s="107"/>
      <c r="S8" s="23">
        <f t="shared" si="4"/>
        <v>-724</v>
      </c>
      <c r="T8" s="118"/>
      <c r="U8" s="117"/>
      <c r="V8" s="19">
        <f t="shared" si="5"/>
        <v>-724</v>
      </c>
      <c r="W8" s="96" t="s">
        <v>8</v>
      </c>
    </row>
    <row r="9" spans="1:23" ht="15" customHeight="1">
      <c r="A9" s="91"/>
      <c r="B9" s="118"/>
      <c r="C9" s="117"/>
      <c r="D9" s="19">
        <f t="shared" si="6"/>
        <v>1</v>
      </c>
      <c r="E9" s="28" t="s">
        <v>134</v>
      </c>
      <c r="F9" s="107"/>
      <c r="G9" s="17">
        <f t="shared" si="0"/>
        <v>1</v>
      </c>
      <c r="H9" s="118"/>
      <c r="I9" s="117"/>
      <c r="J9" s="19">
        <f t="shared" si="1"/>
        <v>1</v>
      </c>
      <c r="K9" s="106"/>
      <c r="L9" s="107"/>
      <c r="M9" s="23">
        <f t="shared" si="2"/>
        <v>1</v>
      </c>
      <c r="N9" s="118"/>
      <c r="O9" s="117"/>
      <c r="P9" s="19">
        <f t="shared" si="3"/>
        <v>-724</v>
      </c>
      <c r="Q9" s="106"/>
      <c r="R9" s="107"/>
      <c r="S9" s="23">
        <f t="shared" si="4"/>
        <v>-724</v>
      </c>
      <c r="T9" s="118"/>
      <c r="U9" s="117"/>
      <c r="V9" s="19">
        <f t="shared" si="5"/>
        <v>-724</v>
      </c>
      <c r="W9" s="96" t="s">
        <v>9</v>
      </c>
    </row>
    <row r="10" spans="1:23" ht="15" customHeight="1">
      <c r="A10" s="91"/>
      <c r="B10" s="118"/>
      <c r="C10" s="117"/>
      <c r="D10" s="19">
        <f t="shared" si="6"/>
        <v>1</v>
      </c>
      <c r="E10" s="28" t="s">
        <v>135</v>
      </c>
      <c r="F10" s="107"/>
      <c r="G10" s="17">
        <f t="shared" si="0"/>
        <v>1</v>
      </c>
      <c r="H10" s="118"/>
      <c r="I10" s="117"/>
      <c r="J10" s="19">
        <f t="shared" si="1"/>
        <v>1</v>
      </c>
      <c r="K10" s="106"/>
      <c r="L10" s="107"/>
      <c r="M10" s="23">
        <f t="shared" si="2"/>
        <v>1</v>
      </c>
      <c r="N10" s="118"/>
      <c r="O10" s="117"/>
      <c r="P10" s="19">
        <f t="shared" si="3"/>
        <v>-724</v>
      </c>
      <c r="Q10" s="106"/>
      <c r="R10" s="107"/>
      <c r="S10" s="23">
        <f t="shared" si="4"/>
        <v>-724</v>
      </c>
      <c r="T10" s="118"/>
      <c r="U10" s="117"/>
      <c r="V10" s="19">
        <f t="shared" si="5"/>
        <v>-724</v>
      </c>
      <c r="W10" s="96" t="s">
        <v>10</v>
      </c>
    </row>
    <row r="11" spans="1:23" ht="15" customHeight="1">
      <c r="A11" s="91"/>
      <c r="B11" s="154"/>
      <c r="C11" s="128"/>
      <c r="D11" s="29">
        <f t="shared" si="6"/>
        <v>1</v>
      </c>
      <c r="E11" s="122"/>
      <c r="F11" s="123"/>
      <c r="G11" s="30">
        <f t="shared" si="0"/>
        <v>1</v>
      </c>
      <c r="H11" s="154"/>
      <c r="I11" s="128"/>
      <c r="J11" s="29">
        <f t="shared" si="1"/>
        <v>1</v>
      </c>
      <c r="K11" s="122"/>
      <c r="L11" s="123"/>
      <c r="M11" s="31">
        <f t="shared" si="2"/>
        <v>1</v>
      </c>
      <c r="N11" s="154"/>
      <c r="O11" s="128"/>
      <c r="P11" s="29">
        <f t="shared" si="3"/>
        <v>-724</v>
      </c>
      <c r="Q11" s="122"/>
      <c r="R11" s="123"/>
      <c r="S11" s="31">
        <f t="shared" si="4"/>
        <v>-724</v>
      </c>
      <c r="T11" s="154"/>
      <c r="U11" s="128"/>
      <c r="V11" s="29">
        <f t="shared" si="5"/>
        <v>-724</v>
      </c>
      <c r="W11" s="32" t="s">
        <v>11</v>
      </c>
    </row>
    <row r="12" spans="1:23" ht="21.75" customHeight="1">
      <c r="A12" s="162"/>
      <c r="B12" s="77">
        <f>DATE(
  VALUE(LEFT($B$2,4)),
  VALUE(MID($B$2,6,2)),
  VALUE(RIGHT($B$2,2))
) + 7</f>
        <v>47125</v>
      </c>
      <c r="C12" s="81"/>
      <c r="D12" s="82"/>
      <c r="E12" s="77">
        <f>DATE(VALUE(LEFT($B$2,4)),VALUE(MID($B$2,6,2)),VALUE(RIGHT($B$2,2)))
+ 7
+ INT((COLUMN()-COLUMN($B12))/3)</f>
        <v>47126</v>
      </c>
      <c r="F12" s="81"/>
      <c r="G12" s="82"/>
      <c r="H12" s="77">
        <f>DATE(VALUE(LEFT($B$2,4)),VALUE(MID($B$2,6,2)),VALUE(RIGHT($B$2,2)))
+ 7
+ INT((COLUMN()-COLUMN($B12))/3)</f>
        <v>47127</v>
      </c>
      <c r="I12" s="81"/>
      <c r="J12" s="82"/>
      <c r="K12" s="77">
        <f>DATE(VALUE(LEFT($B$2,4)),VALUE(MID($B$2,6,2)),VALUE(RIGHT($B$2,2)))
+ 7
+ INT((COLUMN()-COLUMN($B12))/3)</f>
        <v>47128</v>
      </c>
      <c r="L12" s="81"/>
      <c r="M12" s="82"/>
      <c r="N12" s="77">
        <f>DATE(VALUE(LEFT($B$2,4)),VALUE(MID($B$2,6,2)),VALUE(RIGHT($B$2,2)))
+ 7
+ INT((COLUMN()-COLUMN($B12))/3)</f>
        <v>47129</v>
      </c>
      <c r="O12" s="81"/>
      <c r="P12" s="82"/>
      <c r="Q12" s="77">
        <f>DATE(VALUE(LEFT($B$2,4)),VALUE(MID($B$2,6,2)),VALUE(RIGHT($B$2,2)))
+ 7
+ INT((COLUMN()-COLUMN($B12))/3)</f>
        <v>47130</v>
      </c>
      <c r="R12" s="81"/>
      <c r="S12" s="82"/>
      <c r="T12" s="77">
        <f>DATE(VALUE(LEFT($B$2,4)),VALUE(MID($B$2,6,2)),VALUE(RIGHT($B$2,2)))
+ 7
+ INT((COLUMN()-COLUMN($B12))/3)</f>
        <v>47131</v>
      </c>
      <c r="U12" s="81"/>
      <c r="V12" s="82"/>
      <c r="W12" s="33" t="s">
        <v>12</v>
      </c>
    </row>
    <row r="13" spans="1:23" ht="15" customHeight="1">
      <c r="A13" s="14" t="s">
        <v>136</v>
      </c>
      <c r="B13" s="34" t="s">
        <v>74</v>
      </c>
      <c r="C13" s="18">
        <v>-75</v>
      </c>
      <c r="D13" s="17">
        <f>V11+C13</f>
        <v>-799</v>
      </c>
      <c r="E13" s="109"/>
      <c r="F13" s="109"/>
      <c r="G13" s="35">
        <f>D22+F13</f>
        <v>-889</v>
      </c>
      <c r="H13" s="112"/>
      <c r="I13" s="111"/>
      <c r="J13" s="17">
        <f>G22+I13</f>
        <v>-889</v>
      </c>
      <c r="K13" s="113"/>
      <c r="L13" s="109"/>
      <c r="M13" s="35">
        <f>J22+L13</f>
        <v>-889</v>
      </c>
      <c r="N13" s="112"/>
      <c r="O13" s="111"/>
      <c r="P13" s="17">
        <f>M22+O13</f>
        <v>-889</v>
      </c>
      <c r="Q13" s="113"/>
      <c r="R13" s="109"/>
      <c r="S13" s="35">
        <f>P22+R13</f>
        <v>-889</v>
      </c>
      <c r="T13" s="112"/>
      <c r="U13" s="111"/>
      <c r="V13" s="36">
        <f>S22+U13</f>
        <v>-889</v>
      </c>
      <c r="W13" s="98" t="s">
        <v>13</v>
      </c>
    </row>
    <row r="14" spans="1:23" ht="15" customHeight="1">
      <c r="A14" s="91"/>
      <c r="B14" s="37" t="s">
        <v>76</v>
      </c>
      <c r="C14" s="23">
        <v>-25</v>
      </c>
      <c r="D14" s="26">
        <f t="shared" ref="D14:D22" si="7">D13+C14</f>
        <v>-824</v>
      </c>
      <c r="E14" s="117"/>
      <c r="F14" s="117"/>
      <c r="G14" s="38">
        <f t="shared" ref="G14:G22" si="8">G13+F14</f>
        <v>-889</v>
      </c>
      <c r="H14" s="106"/>
      <c r="I14" s="107"/>
      <c r="J14" s="26">
        <f t="shared" ref="J14:J22" si="9">J13+I14</f>
        <v>-889</v>
      </c>
      <c r="K14" s="118"/>
      <c r="L14" s="117"/>
      <c r="M14" s="38">
        <f t="shared" ref="M14:M22" si="10">M13+L14</f>
        <v>-889</v>
      </c>
      <c r="N14" s="106"/>
      <c r="O14" s="107"/>
      <c r="P14" s="26">
        <f t="shared" ref="P14:P22" si="11">P13+O14</f>
        <v>-889</v>
      </c>
      <c r="Q14" s="163"/>
      <c r="R14" s="164"/>
      <c r="S14" s="38">
        <f t="shared" ref="S14:S22" si="12">S13+R14</f>
        <v>-889</v>
      </c>
      <c r="T14" s="106"/>
      <c r="U14" s="107"/>
      <c r="V14" s="26">
        <f t="shared" ref="V14:V22" si="13">V13+U14</f>
        <v>-889</v>
      </c>
      <c r="W14" s="99"/>
    </row>
    <row r="15" spans="1:23" ht="15" customHeight="1">
      <c r="A15" s="91"/>
      <c r="B15" s="37" t="s">
        <v>79</v>
      </c>
      <c r="C15" s="23">
        <v>-65</v>
      </c>
      <c r="D15" s="26">
        <f t="shared" si="7"/>
        <v>-889</v>
      </c>
      <c r="E15" s="118"/>
      <c r="F15" s="117"/>
      <c r="G15" s="38">
        <f t="shared" si="8"/>
        <v>-889</v>
      </c>
      <c r="H15" s="106"/>
      <c r="I15" s="107"/>
      <c r="J15" s="26">
        <f t="shared" si="9"/>
        <v>-889</v>
      </c>
      <c r="K15" s="118"/>
      <c r="L15" s="117"/>
      <c r="M15" s="38">
        <f t="shared" si="10"/>
        <v>-889</v>
      </c>
      <c r="N15" s="106"/>
      <c r="O15" s="107"/>
      <c r="P15" s="26">
        <f t="shared" si="11"/>
        <v>-889</v>
      </c>
      <c r="Q15" s="163"/>
      <c r="R15" s="164"/>
      <c r="S15" s="38">
        <f t="shared" si="12"/>
        <v>-889</v>
      </c>
      <c r="T15" s="106"/>
      <c r="U15" s="107"/>
      <c r="V15" s="26">
        <f t="shared" si="13"/>
        <v>-889</v>
      </c>
      <c r="W15" s="100" t="s">
        <v>14</v>
      </c>
    </row>
    <row r="16" spans="1:23" ht="15" customHeight="1">
      <c r="A16" s="91"/>
      <c r="B16" s="106"/>
      <c r="C16" s="107"/>
      <c r="D16" s="26">
        <f t="shared" si="7"/>
        <v>-889</v>
      </c>
      <c r="E16" s="118"/>
      <c r="F16" s="117"/>
      <c r="G16" s="38">
        <f t="shared" si="8"/>
        <v>-889</v>
      </c>
      <c r="H16" s="106"/>
      <c r="I16" s="107"/>
      <c r="J16" s="26">
        <f t="shared" si="9"/>
        <v>-889</v>
      </c>
      <c r="K16" s="118"/>
      <c r="L16" s="117"/>
      <c r="M16" s="38">
        <f t="shared" si="10"/>
        <v>-889</v>
      </c>
      <c r="N16" s="106"/>
      <c r="O16" s="107"/>
      <c r="P16" s="26">
        <f t="shared" si="11"/>
        <v>-889</v>
      </c>
      <c r="Q16" s="163"/>
      <c r="R16" s="164"/>
      <c r="S16" s="38">
        <f t="shared" si="12"/>
        <v>-889</v>
      </c>
      <c r="T16" s="106"/>
      <c r="U16" s="107"/>
      <c r="V16" s="26">
        <f t="shared" si="13"/>
        <v>-889</v>
      </c>
      <c r="W16" s="101" t="s">
        <v>15</v>
      </c>
    </row>
    <row r="17" spans="1:23" ht="15" customHeight="1">
      <c r="A17" s="91"/>
      <c r="B17" s="106"/>
      <c r="C17" s="107"/>
      <c r="D17" s="26">
        <f t="shared" si="7"/>
        <v>-889</v>
      </c>
      <c r="E17" s="118"/>
      <c r="F17" s="117"/>
      <c r="G17" s="38">
        <f t="shared" si="8"/>
        <v>-889</v>
      </c>
      <c r="H17" s="106"/>
      <c r="I17" s="107"/>
      <c r="J17" s="26">
        <f t="shared" si="9"/>
        <v>-889</v>
      </c>
      <c r="K17" s="118"/>
      <c r="L17" s="117"/>
      <c r="M17" s="38">
        <f t="shared" si="10"/>
        <v>-889</v>
      </c>
      <c r="N17" s="106"/>
      <c r="O17" s="107"/>
      <c r="P17" s="26">
        <f t="shared" si="11"/>
        <v>-889</v>
      </c>
      <c r="Q17" s="163"/>
      <c r="R17" s="164"/>
      <c r="S17" s="38">
        <f t="shared" si="12"/>
        <v>-889</v>
      </c>
      <c r="T17" s="106"/>
      <c r="U17" s="107"/>
      <c r="V17" s="26">
        <f t="shared" si="13"/>
        <v>-889</v>
      </c>
      <c r="W17" s="101" t="s">
        <v>16</v>
      </c>
    </row>
    <row r="18" spans="1:23" ht="15" customHeight="1">
      <c r="A18" s="91"/>
      <c r="B18" s="106"/>
      <c r="C18" s="107"/>
      <c r="D18" s="26">
        <f t="shared" si="7"/>
        <v>-889</v>
      </c>
      <c r="E18" s="118"/>
      <c r="F18" s="117"/>
      <c r="G18" s="38">
        <f t="shared" si="8"/>
        <v>-889</v>
      </c>
      <c r="H18" s="106"/>
      <c r="I18" s="107"/>
      <c r="J18" s="26">
        <f t="shared" si="9"/>
        <v>-889</v>
      </c>
      <c r="K18" s="118"/>
      <c r="L18" s="117"/>
      <c r="M18" s="38">
        <f t="shared" si="10"/>
        <v>-889</v>
      </c>
      <c r="N18" s="106"/>
      <c r="O18" s="107"/>
      <c r="P18" s="26">
        <f t="shared" si="11"/>
        <v>-889</v>
      </c>
      <c r="Q18" s="163"/>
      <c r="R18" s="164"/>
      <c r="S18" s="38">
        <f t="shared" si="12"/>
        <v>-889</v>
      </c>
      <c r="T18" s="106"/>
      <c r="U18" s="107"/>
      <c r="V18" s="26">
        <f t="shared" si="13"/>
        <v>-889</v>
      </c>
      <c r="W18" s="101" t="s">
        <v>17</v>
      </c>
    </row>
    <row r="19" spans="1:23" ht="15" customHeight="1">
      <c r="A19" s="91"/>
      <c r="B19" s="106"/>
      <c r="C19" s="107"/>
      <c r="D19" s="26">
        <f t="shared" si="7"/>
        <v>-889</v>
      </c>
      <c r="E19" s="118"/>
      <c r="F19" s="117"/>
      <c r="G19" s="38">
        <f t="shared" si="8"/>
        <v>-889</v>
      </c>
      <c r="H19" s="106"/>
      <c r="I19" s="107"/>
      <c r="J19" s="26">
        <f t="shared" si="9"/>
        <v>-889</v>
      </c>
      <c r="K19" s="118"/>
      <c r="L19" s="117"/>
      <c r="M19" s="38">
        <f t="shared" si="10"/>
        <v>-889</v>
      </c>
      <c r="N19" s="106"/>
      <c r="O19" s="107"/>
      <c r="P19" s="26">
        <f t="shared" si="11"/>
        <v>-889</v>
      </c>
      <c r="Q19" s="163"/>
      <c r="R19" s="164"/>
      <c r="S19" s="38">
        <f t="shared" si="12"/>
        <v>-889</v>
      </c>
      <c r="T19" s="106"/>
      <c r="U19" s="107"/>
      <c r="V19" s="26">
        <f t="shared" si="13"/>
        <v>-889</v>
      </c>
      <c r="W19" s="99"/>
    </row>
    <row r="20" spans="1:23" ht="15" customHeight="1">
      <c r="A20" s="91"/>
      <c r="B20" s="106"/>
      <c r="C20" s="107"/>
      <c r="D20" s="26">
        <f t="shared" si="7"/>
        <v>-889</v>
      </c>
      <c r="E20" s="165"/>
      <c r="F20" s="117"/>
      <c r="G20" s="38">
        <f t="shared" si="8"/>
        <v>-889</v>
      </c>
      <c r="H20" s="106"/>
      <c r="I20" s="107"/>
      <c r="J20" s="26">
        <f t="shared" si="9"/>
        <v>-889</v>
      </c>
      <c r="K20" s="118"/>
      <c r="L20" s="117"/>
      <c r="M20" s="38">
        <f t="shared" si="10"/>
        <v>-889</v>
      </c>
      <c r="N20" s="106"/>
      <c r="O20" s="107"/>
      <c r="P20" s="26">
        <f t="shared" si="11"/>
        <v>-889</v>
      </c>
      <c r="Q20" s="118"/>
      <c r="R20" s="117"/>
      <c r="S20" s="38">
        <f t="shared" si="12"/>
        <v>-889</v>
      </c>
      <c r="T20" s="106"/>
      <c r="U20" s="107"/>
      <c r="V20" s="26">
        <f t="shared" si="13"/>
        <v>-889</v>
      </c>
      <c r="W20" s="100" t="s">
        <v>18</v>
      </c>
    </row>
    <row r="21" spans="1:23" ht="15" customHeight="1">
      <c r="A21" s="91"/>
      <c r="B21" s="106"/>
      <c r="C21" s="107"/>
      <c r="D21" s="26">
        <f t="shared" si="7"/>
        <v>-889</v>
      </c>
      <c r="E21" s="118"/>
      <c r="F21" s="117"/>
      <c r="G21" s="38">
        <f t="shared" si="8"/>
        <v>-889</v>
      </c>
      <c r="H21" s="106"/>
      <c r="I21" s="107"/>
      <c r="J21" s="26">
        <f t="shared" si="9"/>
        <v>-889</v>
      </c>
      <c r="K21" s="118"/>
      <c r="L21" s="117"/>
      <c r="M21" s="38">
        <f t="shared" si="10"/>
        <v>-889</v>
      </c>
      <c r="N21" s="106"/>
      <c r="O21" s="107"/>
      <c r="P21" s="26">
        <f t="shared" si="11"/>
        <v>-889</v>
      </c>
      <c r="Q21" s="118"/>
      <c r="R21" s="117"/>
      <c r="S21" s="38">
        <f t="shared" si="12"/>
        <v>-889</v>
      </c>
      <c r="T21" s="106"/>
      <c r="U21" s="107"/>
      <c r="V21" s="26">
        <f t="shared" si="13"/>
        <v>-889</v>
      </c>
      <c r="W21" s="101" t="s">
        <v>19</v>
      </c>
    </row>
    <row r="22" spans="1:23" ht="15" customHeight="1">
      <c r="A22" s="91"/>
      <c r="B22" s="166"/>
      <c r="C22" s="167"/>
      <c r="D22" s="39">
        <f t="shared" si="7"/>
        <v>-889</v>
      </c>
      <c r="E22" s="154"/>
      <c r="F22" s="128"/>
      <c r="G22" s="40">
        <f t="shared" si="8"/>
        <v>-889</v>
      </c>
      <c r="H22" s="122"/>
      <c r="I22" s="123"/>
      <c r="J22" s="39">
        <f t="shared" si="9"/>
        <v>-889</v>
      </c>
      <c r="K22" s="154"/>
      <c r="L22" s="128"/>
      <c r="M22" s="40">
        <f t="shared" si="10"/>
        <v>-889</v>
      </c>
      <c r="N22" s="122"/>
      <c r="O22" s="123"/>
      <c r="P22" s="39">
        <f t="shared" si="11"/>
        <v>-889</v>
      </c>
      <c r="Q22" s="154"/>
      <c r="R22" s="128"/>
      <c r="S22" s="40">
        <f t="shared" si="12"/>
        <v>-889</v>
      </c>
      <c r="T22" s="122"/>
      <c r="U22" s="123"/>
      <c r="V22" s="39">
        <f t="shared" si="13"/>
        <v>-889</v>
      </c>
      <c r="W22" s="99"/>
    </row>
    <row r="23" spans="1:23" ht="17.25" customHeight="1">
      <c r="A23" s="162"/>
      <c r="B23" s="77">
        <f ca="1">IFERROR(__xludf.DUMMYFUNCTION("DATE(VALUE(LEFT($B$2,4)),VALUE(MID($B$2,6,2)),VALUE(RIGHT($B$2,2)))
+ (VALUE(REGEXEXTRACT(INDIRECT(""A""&amp;ROW()+1),""\d+""))-1)*7
+ INT((COLUMN()-COLUMN($B23))/3)
"),47132)</f>
        <v>47132</v>
      </c>
      <c r="C23" s="81"/>
      <c r="D23" s="82"/>
      <c r="E23" s="77">
        <f ca="1">IFERROR(__xludf.DUMMYFUNCTION("DATE(VALUE(LEFT($B$2,4)),VALUE(MID($B$2,6,2)),VALUE(RIGHT($B$2,2)))
+ (VALUE(REGEXEXTRACT(INDIRECT(""A""&amp;ROW()+1),""\d+""))-1)*7
+ INT((COLUMN()-COLUMN($B23))/3)
"),47133)</f>
        <v>47133</v>
      </c>
      <c r="F23" s="81"/>
      <c r="G23" s="82"/>
      <c r="H23" s="77">
        <f ca="1">IFERROR(__xludf.DUMMYFUNCTION("DATE(VALUE(LEFT($B$2,4)),VALUE(MID($B$2,6,2)),VALUE(RIGHT($B$2,2)))
+ (VALUE(REGEXEXTRACT(INDIRECT(""A""&amp;ROW()+1),""\d+""))-1)*7
+ INT((COLUMN()-COLUMN($B23))/3)
"),47134)</f>
        <v>47134</v>
      </c>
      <c r="I23" s="81"/>
      <c r="J23" s="82"/>
      <c r="K23" s="77">
        <f ca="1">IFERROR(__xludf.DUMMYFUNCTION("DATE(VALUE(LEFT($B$2,4)),VALUE(MID($B$2,6,2)),VALUE(RIGHT($B$2,2)))
+ (VALUE(REGEXEXTRACT(INDIRECT(""A""&amp;ROW()+1),""\d+""))-1)*7
+ INT((COLUMN()-COLUMN($B23))/3)
"),47135)</f>
        <v>47135</v>
      </c>
      <c r="L23" s="81"/>
      <c r="M23" s="82"/>
      <c r="N23" s="77">
        <f ca="1">IFERROR(__xludf.DUMMYFUNCTION("DATE(VALUE(LEFT($B$2,4)),VALUE(MID($B$2,6,2)),VALUE(RIGHT($B$2,2)))
+ (VALUE(REGEXEXTRACT(INDIRECT(""A""&amp;ROW()+1),""\d+""))-1)*7
+ INT((COLUMN()-COLUMN($B23))/3)
"),47136)</f>
        <v>47136</v>
      </c>
      <c r="O23" s="81"/>
      <c r="P23" s="82"/>
      <c r="Q23" s="77">
        <f ca="1">IFERROR(__xludf.DUMMYFUNCTION("DATE(VALUE(LEFT($B$2,4)),VALUE(MID($B$2,6,2)),VALUE(RIGHT($B$2,2)))
+ (VALUE(REGEXEXTRACT(INDIRECT(""A""&amp;ROW()+1),""\d+""))-1)*7
+ INT((COLUMN()-COLUMN($B23))/3)
"),47137)</f>
        <v>47137</v>
      </c>
      <c r="R23" s="81"/>
      <c r="S23" s="82"/>
      <c r="T23" s="77">
        <f ca="1">IFERROR(__xludf.DUMMYFUNCTION("DATE(VALUE(LEFT($B$2,4)),VALUE(MID($B$2,6,2)),VALUE(RIGHT($B$2,2)))
+ (VALUE(REGEXEXTRACT(INDIRECT(""A""&amp;ROW()+1),""\d+""))-1)*7
+ INT((COLUMN()-COLUMN($B23))/3)
"),47138)</f>
        <v>47138</v>
      </c>
      <c r="U23" s="81"/>
      <c r="V23" s="82"/>
      <c r="W23" s="41" t="s">
        <v>20</v>
      </c>
    </row>
    <row r="24" spans="1:23" ht="15" customHeight="1">
      <c r="A24" s="14" t="s">
        <v>137</v>
      </c>
      <c r="B24" s="35" t="s">
        <v>74</v>
      </c>
      <c r="C24" s="35">
        <v>-75</v>
      </c>
      <c r="D24" s="42">
        <f>V22+C24</f>
        <v>-964</v>
      </c>
      <c r="E24" s="112"/>
      <c r="F24" s="111"/>
      <c r="G24" s="18">
        <f>D33+F24</f>
        <v>-1129</v>
      </c>
      <c r="H24" s="113"/>
      <c r="I24" s="109"/>
      <c r="J24" s="42">
        <f>G33+I24</f>
        <v>-1129</v>
      </c>
      <c r="K24" s="112"/>
      <c r="L24" s="111"/>
      <c r="M24" s="18">
        <f>J33+L24</f>
        <v>-1129</v>
      </c>
      <c r="N24" s="113"/>
      <c r="O24" s="109"/>
      <c r="P24" s="35">
        <f>M33+O24</f>
        <v>-1129</v>
      </c>
      <c r="Q24" s="112"/>
      <c r="R24" s="111"/>
      <c r="S24" s="18">
        <f>P33+F128</f>
        <v>-1129</v>
      </c>
      <c r="T24" s="113"/>
      <c r="U24" s="109"/>
      <c r="V24" s="42">
        <f>S33+U24</f>
        <v>-1129</v>
      </c>
      <c r="W24" s="43">
        <v>500</v>
      </c>
    </row>
    <row r="25" spans="1:23" ht="15" customHeight="1">
      <c r="A25" s="91"/>
      <c r="B25" s="38" t="s">
        <v>76</v>
      </c>
      <c r="C25" s="38">
        <v>-25</v>
      </c>
      <c r="D25" s="19">
        <f t="shared" ref="D25:D33" si="14">D24+C25</f>
        <v>-989</v>
      </c>
      <c r="E25" s="106"/>
      <c r="F25" s="107"/>
      <c r="G25" s="23">
        <f t="shared" ref="G25:G33" si="15">G24+F25</f>
        <v>-1129</v>
      </c>
      <c r="H25" s="118"/>
      <c r="I25" s="117"/>
      <c r="J25" s="19">
        <f t="shared" ref="J25:J33" si="16">J24+I25</f>
        <v>-1129</v>
      </c>
      <c r="K25" s="106"/>
      <c r="L25" s="107"/>
      <c r="M25" s="26">
        <f t="shared" ref="M25:M33" si="17">M24+L25</f>
        <v>-1129</v>
      </c>
      <c r="N25" s="118"/>
      <c r="O25" s="117"/>
      <c r="P25" s="38">
        <f t="shared" ref="P25:P33" si="18">P24+O25</f>
        <v>-1129</v>
      </c>
      <c r="Q25" s="106"/>
      <c r="R25" s="107"/>
      <c r="S25" s="26">
        <f t="shared" ref="S25:S33" si="19">S24+R25</f>
        <v>-1129</v>
      </c>
      <c r="T25" s="118"/>
      <c r="U25" s="117"/>
      <c r="V25" s="19">
        <f t="shared" ref="V25:V33" si="20">V24+U25</f>
        <v>-1129</v>
      </c>
      <c r="W25" s="95"/>
    </row>
    <row r="26" spans="1:23" ht="15" customHeight="1">
      <c r="A26" s="91"/>
      <c r="B26" s="38" t="s">
        <v>90</v>
      </c>
      <c r="C26" s="38">
        <v>-65</v>
      </c>
      <c r="D26" s="19">
        <f t="shared" si="14"/>
        <v>-1054</v>
      </c>
      <c r="E26" s="106"/>
      <c r="F26" s="107"/>
      <c r="G26" s="23">
        <f t="shared" si="15"/>
        <v>-1129</v>
      </c>
      <c r="H26" s="118"/>
      <c r="I26" s="117"/>
      <c r="J26" s="19">
        <f t="shared" si="16"/>
        <v>-1129</v>
      </c>
      <c r="K26" s="106"/>
      <c r="L26" s="107"/>
      <c r="M26" s="26">
        <f t="shared" si="17"/>
        <v>-1129</v>
      </c>
      <c r="N26" s="118"/>
      <c r="O26" s="117"/>
      <c r="P26" s="19">
        <f t="shared" si="18"/>
        <v>-1129</v>
      </c>
      <c r="Q26" s="106"/>
      <c r="R26" s="107"/>
      <c r="S26" s="26">
        <f t="shared" si="19"/>
        <v>-1129</v>
      </c>
      <c r="T26" s="118"/>
      <c r="U26" s="117"/>
      <c r="V26" s="19">
        <f t="shared" si="20"/>
        <v>-1129</v>
      </c>
      <c r="W26" s="95"/>
    </row>
    <row r="27" spans="1:23" ht="15" customHeight="1">
      <c r="A27" s="91"/>
      <c r="B27" s="44" t="s">
        <v>138</v>
      </c>
      <c r="C27" s="38">
        <v>-75</v>
      </c>
      <c r="D27" s="19">
        <f t="shared" si="14"/>
        <v>-1129</v>
      </c>
      <c r="E27" s="106"/>
      <c r="F27" s="107"/>
      <c r="G27" s="23">
        <f t="shared" si="15"/>
        <v>-1129</v>
      </c>
      <c r="H27" s="118"/>
      <c r="I27" s="117"/>
      <c r="J27" s="19">
        <f t="shared" si="16"/>
        <v>-1129</v>
      </c>
      <c r="K27" s="106"/>
      <c r="L27" s="107"/>
      <c r="M27" s="26">
        <f t="shared" si="17"/>
        <v>-1129</v>
      </c>
      <c r="N27" s="118"/>
      <c r="O27" s="117"/>
      <c r="P27" s="38">
        <f t="shared" si="18"/>
        <v>-1129</v>
      </c>
      <c r="Q27" s="106"/>
      <c r="R27" s="107"/>
      <c r="S27" s="26">
        <f t="shared" si="19"/>
        <v>-1129</v>
      </c>
      <c r="T27" s="118"/>
      <c r="U27" s="117"/>
      <c r="V27" s="19">
        <f t="shared" si="20"/>
        <v>-1129</v>
      </c>
      <c r="W27" s="95"/>
    </row>
    <row r="28" spans="1:23" ht="15" customHeight="1">
      <c r="A28" s="91"/>
      <c r="B28" s="117"/>
      <c r="C28" s="117"/>
      <c r="D28" s="19">
        <f t="shared" si="14"/>
        <v>-1129</v>
      </c>
      <c r="E28" s="106"/>
      <c r="F28" s="107"/>
      <c r="G28" s="23">
        <f t="shared" si="15"/>
        <v>-1129</v>
      </c>
      <c r="H28" s="118"/>
      <c r="I28" s="117"/>
      <c r="J28" s="19">
        <f t="shared" si="16"/>
        <v>-1129</v>
      </c>
      <c r="K28" s="106"/>
      <c r="L28" s="107"/>
      <c r="M28" s="26">
        <f t="shared" si="17"/>
        <v>-1129</v>
      </c>
      <c r="N28" s="118"/>
      <c r="O28" s="117"/>
      <c r="P28" s="38">
        <f t="shared" si="18"/>
        <v>-1129</v>
      </c>
      <c r="Q28" s="106"/>
      <c r="R28" s="107"/>
      <c r="S28" s="26">
        <f t="shared" si="19"/>
        <v>-1129</v>
      </c>
      <c r="T28" s="118"/>
      <c r="U28" s="117"/>
      <c r="V28" s="45">
        <f t="shared" si="20"/>
        <v>-1129</v>
      </c>
      <c r="W28" s="143"/>
    </row>
    <row r="29" spans="1:23" ht="15" customHeight="1">
      <c r="A29" s="91"/>
      <c r="B29" s="118"/>
      <c r="C29" s="117"/>
      <c r="D29" s="19">
        <f t="shared" si="14"/>
        <v>-1129</v>
      </c>
      <c r="E29" s="106"/>
      <c r="F29" s="107"/>
      <c r="G29" s="23">
        <f t="shared" si="15"/>
        <v>-1129</v>
      </c>
      <c r="H29" s="118"/>
      <c r="I29" s="117"/>
      <c r="J29" s="19">
        <f t="shared" si="16"/>
        <v>-1129</v>
      </c>
      <c r="K29" s="106"/>
      <c r="L29" s="107"/>
      <c r="M29" s="26">
        <f t="shared" si="17"/>
        <v>-1129</v>
      </c>
      <c r="N29" s="118"/>
      <c r="O29" s="117"/>
      <c r="P29" s="38">
        <f t="shared" si="18"/>
        <v>-1129</v>
      </c>
      <c r="Q29" s="106"/>
      <c r="R29" s="107"/>
      <c r="S29" s="26">
        <f t="shared" si="19"/>
        <v>-1129</v>
      </c>
      <c r="T29" s="118"/>
      <c r="U29" s="117"/>
      <c r="V29" s="45">
        <f t="shared" si="20"/>
        <v>-1129</v>
      </c>
      <c r="W29" s="143"/>
    </row>
    <row r="30" spans="1:23" ht="15" customHeight="1">
      <c r="A30" s="91"/>
      <c r="B30" s="118"/>
      <c r="C30" s="117"/>
      <c r="D30" s="19">
        <f t="shared" si="14"/>
        <v>-1129</v>
      </c>
      <c r="E30" s="112"/>
      <c r="F30" s="107"/>
      <c r="G30" s="23">
        <f t="shared" si="15"/>
        <v>-1129</v>
      </c>
      <c r="H30" s="118"/>
      <c r="I30" s="117"/>
      <c r="J30" s="19">
        <f t="shared" si="16"/>
        <v>-1129</v>
      </c>
      <c r="K30" s="106"/>
      <c r="L30" s="107"/>
      <c r="M30" s="26">
        <f t="shared" si="17"/>
        <v>-1129</v>
      </c>
      <c r="N30" s="118"/>
      <c r="O30" s="117"/>
      <c r="P30" s="38">
        <f t="shared" si="18"/>
        <v>-1129</v>
      </c>
      <c r="Q30" s="106"/>
      <c r="R30" s="107"/>
      <c r="S30" s="26">
        <f t="shared" si="19"/>
        <v>-1129</v>
      </c>
      <c r="T30" s="118"/>
      <c r="U30" s="117"/>
      <c r="V30" s="45">
        <f t="shared" si="20"/>
        <v>-1129</v>
      </c>
      <c r="W30" s="143"/>
    </row>
    <row r="31" spans="1:23" ht="15" customHeight="1">
      <c r="A31" s="91"/>
      <c r="B31" s="118"/>
      <c r="C31" s="117"/>
      <c r="D31" s="19">
        <f t="shared" si="14"/>
        <v>-1129</v>
      </c>
      <c r="E31" s="112"/>
      <c r="F31" s="107"/>
      <c r="G31" s="23">
        <f t="shared" si="15"/>
        <v>-1129</v>
      </c>
      <c r="H31" s="118"/>
      <c r="I31" s="117"/>
      <c r="J31" s="19">
        <f t="shared" si="16"/>
        <v>-1129</v>
      </c>
      <c r="K31" s="106"/>
      <c r="L31" s="107"/>
      <c r="M31" s="26">
        <f t="shared" si="17"/>
        <v>-1129</v>
      </c>
      <c r="N31" s="118"/>
      <c r="O31" s="117"/>
      <c r="P31" s="38">
        <f t="shared" si="18"/>
        <v>-1129</v>
      </c>
      <c r="Q31" s="106"/>
      <c r="R31" s="107"/>
      <c r="S31" s="26">
        <f t="shared" si="19"/>
        <v>-1129</v>
      </c>
      <c r="T31" s="118"/>
      <c r="U31" s="117"/>
      <c r="V31" s="45">
        <f t="shared" si="20"/>
        <v>-1129</v>
      </c>
      <c r="W31" s="143"/>
    </row>
    <row r="32" spans="1:23" ht="15" customHeight="1">
      <c r="A32" s="91"/>
      <c r="B32" s="118"/>
      <c r="C32" s="117"/>
      <c r="D32" s="19">
        <f t="shared" si="14"/>
        <v>-1129</v>
      </c>
      <c r="E32" s="112"/>
      <c r="F32" s="107"/>
      <c r="G32" s="23">
        <f t="shared" si="15"/>
        <v>-1129</v>
      </c>
      <c r="H32" s="118"/>
      <c r="I32" s="117"/>
      <c r="J32" s="19">
        <f t="shared" si="16"/>
        <v>-1129</v>
      </c>
      <c r="K32" s="106"/>
      <c r="L32" s="107"/>
      <c r="M32" s="26">
        <f t="shared" si="17"/>
        <v>-1129</v>
      </c>
      <c r="N32" s="118"/>
      <c r="O32" s="117"/>
      <c r="P32" s="38">
        <f t="shared" si="18"/>
        <v>-1129</v>
      </c>
      <c r="Q32" s="106"/>
      <c r="R32" s="107"/>
      <c r="S32" s="26">
        <f t="shared" si="19"/>
        <v>-1129</v>
      </c>
      <c r="T32" s="118"/>
      <c r="U32" s="117"/>
      <c r="V32" s="45">
        <f t="shared" si="20"/>
        <v>-1129</v>
      </c>
      <c r="W32" s="143"/>
    </row>
    <row r="33" spans="1:23" ht="15" customHeight="1">
      <c r="A33" s="91"/>
      <c r="B33" s="154"/>
      <c r="C33" s="128"/>
      <c r="D33" s="29">
        <f t="shared" si="14"/>
        <v>-1129</v>
      </c>
      <c r="E33" s="122"/>
      <c r="F33" s="123"/>
      <c r="G33" s="31">
        <f t="shared" si="15"/>
        <v>-1129</v>
      </c>
      <c r="H33" s="154"/>
      <c r="I33" s="128"/>
      <c r="J33" s="29">
        <f t="shared" si="16"/>
        <v>-1129</v>
      </c>
      <c r="K33" s="122"/>
      <c r="L33" s="123"/>
      <c r="M33" s="39">
        <f t="shared" si="17"/>
        <v>-1129</v>
      </c>
      <c r="N33" s="154"/>
      <c r="O33" s="128"/>
      <c r="P33" s="40">
        <f t="shared" si="18"/>
        <v>-1129</v>
      </c>
      <c r="Q33" s="122"/>
      <c r="R33" s="123"/>
      <c r="S33" s="39">
        <f t="shared" si="19"/>
        <v>-1129</v>
      </c>
      <c r="T33" s="154"/>
      <c r="U33" s="128"/>
      <c r="V33" s="46">
        <f t="shared" si="20"/>
        <v>-1129</v>
      </c>
      <c r="W33" s="143"/>
    </row>
    <row r="34" spans="1:23" ht="17.25" customHeight="1">
      <c r="A34" s="162"/>
      <c r="B34" s="77">
        <f ca="1">IFERROR(__xludf.DUMMYFUNCTION("DATE(VALUE(LEFT($B$2,4)),VALUE(MID($B$2,6,2)),VALUE(RIGHT($B$2,2)))
+ (VALUE(REGEXEXTRACT(INDIRECT(""A""&amp;ROW()+1),""\d+""))-1)*7
+ INT((COLUMN()-COLUMN($B34))/3)
"),47139)</f>
        <v>47139</v>
      </c>
      <c r="C34" s="81"/>
      <c r="D34" s="82"/>
      <c r="E34" s="77">
        <f ca="1">IFERROR(__xludf.DUMMYFUNCTION("DATE(VALUE(LEFT($B$2,4)),VALUE(MID($B$2,6,2)),VALUE(RIGHT($B$2,2)))
+ (VALUE(REGEXEXTRACT(INDIRECT(""A""&amp;ROW()+1),""\d+""))-1)*7
+ INT((COLUMN()-COLUMN($B34))/3)
"),47140)</f>
        <v>47140</v>
      </c>
      <c r="F34" s="81"/>
      <c r="G34" s="82"/>
      <c r="H34" s="77">
        <f ca="1">IFERROR(__xludf.DUMMYFUNCTION("DATE(VALUE(LEFT($B$2,4)),VALUE(MID($B$2,6,2)),VALUE(RIGHT($B$2,2)))
+ (VALUE(REGEXEXTRACT(INDIRECT(""A""&amp;ROW()+1),""\d+""))-1)*7
+ INT((COLUMN()-COLUMN($B34))/3)
"),47141)</f>
        <v>47141</v>
      </c>
      <c r="I34" s="81"/>
      <c r="J34" s="82"/>
      <c r="K34" s="77">
        <f ca="1">IFERROR(__xludf.DUMMYFUNCTION("DATE(VALUE(LEFT($B$2,4)),VALUE(MID($B$2,6,2)),VALUE(RIGHT($B$2,2)))
+ (VALUE(REGEXEXTRACT(INDIRECT(""A""&amp;ROW()+1),""\d+""))-1)*7
+ INT((COLUMN()-COLUMN($B34))/3)
"),47142)</f>
        <v>47142</v>
      </c>
      <c r="L34" s="81"/>
      <c r="M34" s="82"/>
      <c r="N34" s="77">
        <f ca="1">IFERROR(__xludf.DUMMYFUNCTION("DATE(VALUE(LEFT($B$2,4)),VALUE(MID($B$2,6,2)),VALUE(RIGHT($B$2,2)))
+ (VALUE(REGEXEXTRACT(INDIRECT(""A""&amp;ROW()+1),""\d+""))-1)*7
+ INT((COLUMN()-COLUMN($B34))/3)
"),47143)</f>
        <v>47143</v>
      </c>
      <c r="O34" s="81"/>
      <c r="P34" s="82"/>
      <c r="Q34" s="77">
        <f ca="1">IFERROR(__xludf.DUMMYFUNCTION("DATE(VALUE(LEFT($B$2,4)),VALUE(MID($B$2,6,2)),VALUE(RIGHT($B$2,2)))
+ (VALUE(REGEXEXTRACT(INDIRECT(""A""&amp;ROW()+1),""\d+""))-1)*7
+ INT((COLUMN()-COLUMN($B34))/3)
"),47144)</f>
        <v>47144</v>
      </c>
      <c r="R34" s="81"/>
      <c r="S34" s="82"/>
      <c r="T34" s="77">
        <f ca="1">IFERROR(__xludf.DUMMYFUNCTION("DATE(VALUE(LEFT($B$2,4)),VALUE(MID($B$2,6,2)),VALUE(RIGHT($B$2,2)))
+ (VALUE(REGEXEXTRACT(INDIRECT(""A""&amp;ROW()+1),""\d+""))-1)*7
+ INT((COLUMN()-COLUMN($B34))/3)
"),47145)</f>
        <v>47145</v>
      </c>
      <c r="U34" s="81"/>
      <c r="V34" s="82"/>
      <c r="W34" s="143"/>
    </row>
    <row r="35" spans="1:23" ht="15" customHeight="1">
      <c r="A35" s="47" t="s">
        <v>139</v>
      </c>
      <c r="B35" s="34" t="s">
        <v>74</v>
      </c>
      <c r="C35" s="18">
        <v>-75</v>
      </c>
      <c r="D35" s="17">
        <f>V33+C35</f>
        <v>-1204</v>
      </c>
      <c r="E35" s="113"/>
      <c r="F35" s="109"/>
      <c r="G35" s="42">
        <f>D44+F35</f>
        <v>-1294</v>
      </c>
      <c r="H35" s="112"/>
      <c r="I35" s="111"/>
      <c r="J35" s="17">
        <f>G44+I35</f>
        <v>-1294</v>
      </c>
      <c r="K35" s="113"/>
      <c r="L35" s="109"/>
      <c r="M35" s="35">
        <f>J44+L35</f>
        <v>-1294</v>
      </c>
      <c r="N35" s="112"/>
      <c r="O35" s="111"/>
      <c r="P35" s="17">
        <f>M44+O35</f>
        <v>-1294</v>
      </c>
      <c r="Q35" s="113"/>
      <c r="R35" s="109"/>
      <c r="S35" s="35">
        <f>P44+R35</f>
        <v>-1294</v>
      </c>
      <c r="T35" s="112"/>
      <c r="U35" s="111"/>
      <c r="V35" s="48">
        <f>S44+U35</f>
        <v>-1294</v>
      </c>
      <c r="W35" s="143"/>
    </row>
    <row r="36" spans="1:23" ht="15" customHeight="1">
      <c r="A36" s="114"/>
      <c r="B36" s="37" t="s">
        <v>76</v>
      </c>
      <c r="C36" s="23">
        <v>-25</v>
      </c>
      <c r="D36" s="26">
        <f t="shared" ref="D36:D44" si="21">D35+C36</f>
        <v>-1229</v>
      </c>
      <c r="E36" s="118"/>
      <c r="F36" s="117"/>
      <c r="G36" s="19">
        <f t="shared" ref="G36:G44" si="22">G35+F36</f>
        <v>-1294</v>
      </c>
      <c r="H36" s="106"/>
      <c r="I36" s="107"/>
      <c r="J36" s="26">
        <f t="shared" ref="J36:J44" si="23">J35+I36</f>
        <v>-1294</v>
      </c>
      <c r="K36" s="118"/>
      <c r="L36" s="117"/>
      <c r="M36" s="38">
        <f t="shared" ref="M36:M44" si="24">M35+L36</f>
        <v>-1294</v>
      </c>
      <c r="N36" s="106"/>
      <c r="O36" s="107"/>
      <c r="P36" s="26">
        <f t="shared" ref="P36:P44" si="25">P35+O36</f>
        <v>-1294</v>
      </c>
      <c r="Q36" s="118"/>
      <c r="R36" s="117"/>
      <c r="S36" s="38">
        <f t="shared" ref="S36:S44" si="26">S35+R36</f>
        <v>-1294</v>
      </c>
      <c r="T36" s="106"/>
      <c r="U36" s="107"/>
      <c r="V36" s="20">
        <f t="shared" ref="V36:V44" si="27">V35+U36</f>
        <v>-1294</v>
      </c>
      <c r="W36" s="143"/>
    </row>
    <row r="37" spans="1:23" ht="15" customHeight="1">
      <c r="A37" s="114"/>
      <c r="B37" s="37" t="s">
        <v>79</v>
      </c>
      <c r="C37" s="23">
        <v>-65</v>
      </c>
      <c r="D37" s="26">
        <f t="shared" si="21"/>
        <v>-1294</v>
      </c>
      <c r="E37" s="118"/>
      <c r="F37" s="117"/>
      <c r="G37" s="19">
        <f t="shared" si="22"/>
        <v>-1294</v>
      </c>
      <c r="H37" s="106"/>
      <c r="I37" s="107"/>
      <c r="J37" s="26">
        <f t="shared" si="23"/>
        <v>-1294</v>
      </c>
      <c r="K37" s="117"/>
      <c r="L37" s="117"/>
      <c r="M37" s="38">
        <f t="shared" si="24"/>
        <v>-1294</v>
      </c>
      <c r="N37" s="106"/>
      <c r="O37" s="107"/>
      <c r="P37" s="26">
        <f t="shared" si="25"/>
        <v>-1294</v>
      </c>
      <c r="Q37" s="118"/>
      <c r="R37" s="117"/>
      <c r="S37" s="38">
        <f t="shared" si="26"/>
        <v>-1294</v>
      </c>
      <c r="T37" s="106"/>
      <c r="U37" s="107"/>
      <c r="V37" s="20">
        <f t="shared" si="27"/>
        <v>-1294</v>
      </c>
      <c r="W37" s="143"/>
    </row>
    <row r="38" spans="1:23" ht="15" customHeight="1">
      <c r="A38" s="114"/>
      <c r="B38" s="106"/>
      <c r="C38" s="107"/>
      <c r="D38" s="26">
        <f t="shared" si="21"/>
        <v>-1294</v>
      </c>
      <c r="E38" s="118"/>
      <c r="F38" s="117"/>
      <c r="G38" s="19">
        <f t="shared" si="22"/>
        <v>-1294</v>
      </c>
      <c r="H38" s="106"/>
      <c r="I38" s="107"/>
      <c r="J38" s="26">
        <f t="shared" si="23"/>
        <v>-1294</v>
      </c>
      <c r="K38" s="117"/>
      <c r="L38" s="117"/>
      <c r="M38" s="38">
        <f t="shared" si="24"/>
        <v>-1294</v>
      </c>
      <c r="N38" s="106"/>
      <c r="O38" s="107"/>
      <c r="P38" s="26">
        <f t="shared" si="25"/>
        <v>-1294</v>
      </c>
      <c r="Q38" s="118"/>
      <c r="R38" s="117"/>
      <c r="S38" s="38">
        <f t="shared" si="26"/>
        <v>-1294</v>
      </c>
      <c r="T38" s="106"/>
      <c r="U38" s="107"/>
      <c r="V38" s="20">
        <f t="shared" si="27"/>
        <v>-1294</v>
      </c>
      <c r="W38" s="143"/>
    </row>
    <row r="39" spans="1:23" ht="15" customHeight="1">
      <c r="A39" s="114"/>
      <c r="B39" s="106"/>
      <c r="C39" s="107"/>
      <c r="D39" s="26">
        <f t="shared" si="21"/>
        <v>-1294</v>
      </c>
      <c r="E39" s="118"/>
      <c r="F39" s="117"/>
      <c r="G39" s="19">
        <f t="shared" si="22"/>
        <v>-1294</v>
      </c>
      <c r="H39" s="106"/>
      <c r="I39" s="107"/>
      <c r="J39" s="26">
        <f t="shared" si="23"/>
        <v>-1294</v>
      </c>
      <c r="K39" s="117"/>
      <c r="L39" s="117"/>
      <c r="M39" s="38">
        <f t="shared" si="24"/>
        <v>-1294</v>
      </c>
      <c r="N39" s="106"/>
      <c r="O39" s="107"/>
      <c r="P39" s="26">
        <f t="shared" si="25"/>
        <v>-1294</v>
      </c>
      <c r="Q39" s="118"/>
      <c r="R39" s="117"/>
      <c r="S39" s="38">
        <f t="shared" si="26"/>
        <v>-1294</v>
      </c>
      <c r="T39" s="106"/>
      <c r="U39" s="107"/>
      <c r="V39" s="20">
        <f t="shared" si="27"/>
        <v>-1294</v>
      </c>
      <c r="W39" s="143"/>
    </row>
    <row r="40" spans="1:23" ht="15" customHeight="1">
      <c r="A40" s="114"/>
      <c r="B40" s="106"/>
      <c r="C40" s="107"/>
      <c r="D40" s="26">
        <f t="shared" si="21"/>
        <v>-1294</v>
      </c>
      <c r="E40" s="118"/>
      <c r="F40" s="117"/>
      <c r="G40" s="19">
        <f t="shared" si="22"/>
        <v>-1294</v>
      </c>
      <c r="H40" s="116"/>
      <c r="I40" s="107"/>
      <c r="J40" s="26">
        <f t="shared" si="23"/>
        <v>-1294</v>
      </c>
      <c r="K40" s="117"/>
      <c r="L40" s="117"/>
      <c r="M40" s="38">
        <f t="shared" si="24"/>
        <v>-1294</v>
      </c>
      <c r="N40" s="106"/>
      <c r="O40" s="107"/>
      <c r="P40" s="26">
        <f t="shared" si="25"/>
        <v>-1294</v>
      </c>
      <c r="Q40" s="118"/>
      <c r="R40" s="117"/>
      <c r="S40" s="38">
        <f t="shared" si="26"/>
        <v>-1294</v>
      </c>
      <c r="T40" s="106"/>
      <c r="U40" s="107"/>
      <c r="V40" s="20">
        <f t="shared" si="27"/>
        <v>-1294</v>
      </c>
      <c r="W40" s="143"/>
    </row>
    <row r="41" spans="1:23" ht="15" customHeight="1">
      <c r="A41" s="114"/>
      <c r="B41" s="106"/>
      <c r="C41" s="107"/>
      <c r="D41" s="26">
        <f t="shared" si="21"/>
        <v>-1294</v>
      </c>
      <c r="E41" s="118"/>
      <c r="F41" s="117"/>
      <c r="G41" s="19">
        <f t="shared" si="22"/>
        <v>-1294</v>
      </c>
      <c r="H41" s="106"/>
      <c r="I41" s="107"/>
      <c r="J41" s="26">
        <f t="shared" si="23"/>
        <v>-1294</v>
      </c>
      <c r="K41" s="117"/>
      <c r="L41" s="117"/>
      <c r="M41" s="38">
        <f t="shared" si="24"/>
        <v>-1294</v>
      </c>
      <c r="N41" s="106"/>
      <c r="O41" s="107"/>
      <c r="P41" s="26">
        <f t="shared" si="25"/>
        <v>-1294</v>
      </c>
      <c r="Q41" s="118"/>
      <c r="R41" s="117"/>
      <c r="S41" s="38">
        <f t="shared" si="26"/>
        <v>-1294</v>
      </c>
      <c r="T41" s="106"/>
      <c r="U41" s="107"/>
      <c r="V41" s="20">
        <f t="shared" si="27"/>
        <v>-1294</v>
      </c>
      <c r="W41" s="143"/>
    </row>
    <row r="42" spans="1:23" ht="15" customHeight="1">
      <c r="A42" s="114"/>
      <c r="B42" s="106"/>
      <c r="C42" s="107"/>
      <c r="D42" s="26">
        <f t="shared" si="21"/>
        <v>-1294</v>
      </c>
      <c r="E42" s="118"/>
      <c r="F42" s="117"/>
      <c r="G42" s="19">
        <f t="shared" si="22"/>
        <v>-1294</v>
      </c>
      <c r="H42" s="106"/>
      <c r="I42" s="107"/>
      <c r="J42" s="26">
        <f t="shared" si="23"/>
        <v>-1294</v>
      </c>
      <c r="K42" s="117"/>
      <c r="L42" s="117"/>
      <c r="M42" s="38">
        <f t="shared" si="24"/>
        <v>-1294</v>
      </c>
      <c r="N42" s="106"/>
      <c r="O42" s="107"/>
      <c r="P42" s="26">
        <f t="shared" si="25"/>
        <v>-1294</v>
      </c>
      <c r="Q42" s="118"/>
      <c r="R42" s="117"/>
      <c r="S42" s="38">
        <f t="shared" si="26"/>
        <v>-1294</v>
      </c>
      <c r="T42" s="106"/>
      <c r="U42" s="107"/>
      <c r="V42" s="20">
        <f t="shared" si="27"/>
        <v>-1294</v>
      </c>
      <c r="W42" s="143"/>
    </row>
    <row r="43" spans="1:23" ht="15" customHeight="1">
      <c r="A43" s="114"/>
      <c r="B43" s="106"/>
      <c r="C43" s="107"/>
      <c r="D43" s="26">
        <f t="shared" si="21"/>
        <v>-1294</v>
      </c>
      <c r="E43" s="118"/>
      <c r="F43" s="117"/>
      <c r="G43" s="19">
        <f t="shared" si="22"/>
        <v>-1294</v>
      </c>
      <c r="H43" s="106"/>
      <c r="I43" s="107"/>
      <c r="J43" s="26">
        <f t="shared" si="23"/>
        <v>-1294</v>
      </c>
      <c r="K43" s="117"/>
      <c r="L43" s="117"/>
      <c r="M43" s="38">
        <f t="shared" si="24"/>
        <v>-1294</v>
      </c>
      <c r="N43" s="106"/>
      <c r="O43" s="107"/>
      <c r="P43" s="26">
        <f t="shared" si="25"/>
        <v>-1294</v>
      </c>
      <c r="Q43" s="118"/>
      <c r="R43" s="117"/>
      <c r="S43" s="38">
        <f t="shared" si="26"/>
        <v>-1294</v>
      </c>
      <c r="T43" s="106"/>
      <c r="U43" s="107"/>
      <c r="V43" s="20">
        <f t="shared" si="27"/>
        <v>-1294</v>
      </c>
      <c r="W43" s="143"/>
    </row>
    <row r="44" spans="1:23" ht="15" customHeight="1">
      <c r="A44" s="114"/>
      <c r="B44" s="122"/>
      <c r="C44" s="123"/>
      <c r="D44" s="39">
        <f t="shared" si="21"/>
        <v>-1294</v>
      </c>
      <c r="E44" s="154"/>
      <c r="F44" s="128"/>
      <c r="G44" s="29">
        <f t="shared" si="22"/>
        <v>-1294</v>
      </c>
      <c r="H44" s="122"/>
      <c r="I44" s="123"/>
      <c r="J44" s="39">
        <f t="shared" si="23"/>
        <v>-1294</v>
      </c>
      <c r="K44" s="154"/>
      <c r="L44" s="128"/>
      <c r="M44" s="40">
        <f t="shared" si="24"/>
        <v>-1294</v>
      </c>
      <c r="N44" s="122"/>
      <c r="O44" s="123"/>
      <c r="P44" s="39">
        <f t="shared" si="25"/>
        <v>-1294</v>
      </c>
      <c r="Q44" s="154"/>
      <c r="R44" s="128"/>
      <c r="S44" s="40">
        <f t="shared" si="26"/>
        <v>-1294</v>
      </c>
      <c r="T44" s="122"/>
      <c r="U44" s="123"/>
      <c r="V44" s="49">
        <f t="shared" si="27"/>
        <v>-1294</v>
      </c>
      <c r="W44" s="143"/>
    </row>
    <row r="45" spans="1:23" ht="17.25" customHeight="1">
      <c r="A45" s="87"/>
      <c r="B45" s="77">
        <f ca="1">IFERROR(__xludf.DUMMYFUNCTION("DATE(VALUE(LEFT($B$2,4)),VALUE(MID($B$2,6,2)),VALUE(RIGHT($B$2,2)))
+ (VALUE(REGEXEXTRACT(INDIRECT(""A""&amp;ROW()+1),""\d+""))-1)*7
+ INT((COLUMN()-COLUMN($B45))/3)
"),47146)</f>
        <v>47146</v>
      </c>
      <c r="C45" s="81"/>
      <c r="D45" s="82"/>
      <c r="E45" s="77">
        <f ca="1">IFERROR(__xludf.DUMMYFUNCTION("DATE(VALUE(LEFT($B$2,4)),VALUE(MID($B$2,6,2)),VALUE(RIGHT($B$2,2)))
+ (VALUE(REGEXEXTRACT(INDIRECT(""A""&amp;ROW()+1),""\d+""))-1)*7
+ INT((COLUMN()-COLUMN($B45))/3)
"),47147)</f>
        <v>47147</v>
      </c>
      <c r="F45" s="81"/>
      <c r="G45" s="82"/>
      <c r="H45" s="77">
        <f ca="1">IFERROR(__xludf.DUMMYFUNCTION("DATE(VALUE(LEFT($B$2,4)),VALUE(MID($B$2,6,2)),VALUE(RIGHT($B$2,2)))
+ (VALUE(REGEXEXTRACT(INDIRECT(""A""&amp;ROW()+1),""\d+""))-1)*7
+ INT((COLUMN()-COLUMN($B45))/3)
"),47148)</f>
        <v>47148</v>
      </c>
      <c r="I45" s="81"/>
      <c r="J45" s="82"/>
      <c r="K45" s="77">
        <f ca="1">IFERROR(__xludf.DUMMYFUNCTION("DATE(VALUE(LEFT($B$2,4)),VALUE(MID($B$2,6,2)),VALUE(RIGHT($B$2,2)))
+ (VALUE(REGEXEXTRACT(INDIRECT(""A""&amp;ROW()+1),""\d+""))-1)*7
+ INT((COLUMN()-COLUMN($B45))/3)
"),47149)</f>
        <v>47149</v>
      </c>
      <c r="L45" s="81"/>
      <c r="M45" s="82"/>
      <c r="N45" s="77">
        <f ca="1">IFERROR(__xludf.DUMMYFUNCTION("DATE(VALUE(LEFT($B$2,4)),VALUE(MID($B$2,6,2)),VALUE(RIGHT($B$2,2)))
+ (VALUE(REGEXEXTRACT(INDIRECT(""A""&amp;ROW()+1),""\d+""))-1)*7
+ INT((COLUMN()-COLUMN($B45))/3)
"),47150)</f>
        <v>47150</v>
      </c>
      <c r="O45" s="81"/>
      <c r="P45" s="82"/>
      <c r="Q45" s="77">
        <f ca="1">IFERROR(__xludf.DUMMYFUNCTION("DATE(VALUE(LEFT($B$2,4)),VALUE(MID($B$2,6,2)),VALUE(RIGHT($B$2,2)))
+ (VALUE(REGEXEXTRACT(INDIRECT(""A""&amp;ROW()+1),""\d+""))-1)*7
+ INT((COLUMN()-COLUMN($B45))/3)
"),47151)</f>
        <v>47151</v>
      </c>
      <c r="R45" s="81"/>
      <c r="S45" s="82"/>
      <c r="T45" s="77">
        <f ca="1">IFERROR(__xludf.DUMMYFUNCTION("DATE(VALUE(LEFT($B$2,4)),VALUE(MID($B$2,6,2)),VALUE(RIGHT($B$2,2)))
+ (VALUE(REGEXEXTRACT(INDIRECT(""A""&amp;ROW()+1),""\d+""))-1)*7
+ INT((COLUMN()-COLUMN($B45))/3)
"),47152)</f>
        <v>47152</v>
      </c>
      <c r="U45" s="81"/>
      <c r="V45" s="82"/>
      <c r="W45" s="41" t="s">
        <v>20</v>
      </c>
    </row>
    <row r="46" spans="1:23" ht="15" customHeight="1">
      <c r="A46" s="47" t="s">
        <v>140</v>
      </c>
      <c r="B46" s="35" t="s">
        <v>74</v>
      </c>
      <c r="C46" s="35">
        <v>-75</v>
      </c>
      <c r="D46" s="42">
        <f>V44+C46</f>
        <v>-1369</v>
      </c>
      <c r="E46" s="112"/>
      <c r="F46" s="168"/>
      <c r="G46" s="18">
        <f>D56+F46</f>
        <v>-1459</v>
      </c>
      <c r="H46" s="113"/>
      <c r="I46" s="132"/>
      <c r="J46" s="42">
        <f>G56+I46</f>
        <v>-1459</v>
      </c>
      <c r="K46" s="112"/>
      <c r="L46" s="111"/>
      <c r="M46" s="48">
        <f>J56+L46</f>
        <v>-1459</v>
      </c>
      <c r="N46" s="149"/>
      <c r="O46" s="109"/>
      <c r="P46" s="35">
        <f>M56+O46</f>
        <v>-1459</v>
      </c>
      <c r="Q46" s="112"/>
      <c r="R46" s="111"/>
      <c r="S46" s="18">
        <f>P56+R46</f>
        <v>-1459</v>
      </c>
      <c r="T46" s="113"/>
      <c r="U46" s="109"/>
      <c r="V46" s="50">
        <f>S56+U46</f>
        <v>-1459</v>
      </c>
      <c r="W46" s="169"/>
    </row>
    <row r="47" spans="1:23" ht="15" customHeight="1">
      <c r="A47" s="114"/>
      <c r="B47" s="38" t="s">
        <v>76</v>
      </c>
      <c r="C47" s="38">
        <v>-25</v>
      </c>
      <c r="D47" s="19">
        <f t="shared" ref="D47:D56" si="28">D46+C47</f>
        <v>-1394</v>
      </c>
      <c r="E47" s="106"/>
      <c r="F47" s="170"/>
      <c r="G47" s="26">
        <f t="shared" ref="G47:G56" si="29">G46+F47</f>
        <v>-1459</v>
      </c>
      <c r="H47" s="118"/>
      <c r="I47" s="133"/>
      <c r="J47" s="19">
        <f t="shared" ref="J47:J56" si="30">J46+I47</f>
        <v>-1459</v>
      </c>
      <c r="K47" s="106"/>
      <c r="L47" s="107"/>
      <c r="M47" s="26">
        <f t="shared" ref="M47:M56" si="31">M46+L47</f>
        <v>-1459</v>
      </c>
      <c r="N47" s="117"/>
      <c r="O47" s="117"/>
      <c r="P47" s="38">
        <f t="shared" ref="P47:P56" si="32">P46+O47</f>
        <v>-1459</v>
      </c>
      <c r="Q47" s="106"/>
      <c r="R47" s="107"/>
      <c r="S47" s="26">
        <f t="shared" ref="S47:S56" si="33">S46+R47</f>
        <v>-1459</v>
      </c>
      <c r="T47" s="136"/>
      <c r="U47" s="136"/>
      <c r="V47" s="45">
        <f t="shared" ref="V47:V56" si="34">V46+U47</f>
        <v>-1459</v>
      </c>
      <c r="W47" s="143"/>
    </row>
    <row r="48" spans="1:23" ht="15" customHeight="1">
      <c r="A48" s="114"/>
      <c r="B48" s="38" t="s">
        <v>90</v>
      </c>
      <c r="C48" s="38">
        <v>-65</v>
      </c>
      <c r="D48" s="19">
        <f t="shared" si="28"/>
        <v>-1459</v>
      </c>
      <c r="E48" s="106"/>
      <c r="F48" s="170"/>
      <c r="G48" s="26">
        <f t="shared" si="29"/>
        <v>-1459</v>
      </c>
      <c r="H48" s="118"/>
      <c r="I48" s="133"/>
      <c r="J48" s="19">
        <f t="shared" si="30"/>
        <v>-1459</v>
      </c>
      <c r="K48" s="106"/>
      <c r="L48" s="107"/>
      <c r="M48" s="26">
        <f t="shared" si="31"/>
        <v>-1459</v>
      </c>
      <c r="N48" s="117"/>
      <c r="O48" s="117"/>
      <c r="P48" s="38">
        <f t="shared" si="32"/>
        <v>-1459</v>
      </c>
      <c r="Q48" s="106"/>
      <c r="R48" s="107"/>
      <c r="S48" s="26">
        <f t="shared" si="33"/>
        <v>-1459</v>
      </c>
      <c r="T48" s="136"/>
      <c r="U48" s="136"/>
      <c r="V48" s="45">
        <f t="shared" si="34"/>
        <v>-1459</v>
      </c>
      <c r="W48" s="143"/>
    </row>
    <row r="49" spans="1:23" ht="15" customHeight="1">
      <c r="A49" s="114"/>
      <c r="B49" s="117"/>
      <c r="C49" s="117"/>
      <c r="D49" s="19">
        <f t="shared" si="28"/>
        <v>-1459</v>
      </c>
      <c r="E49" s="106"/>
      <c r="F49" s="170"/>
      <c r="G49" s="26">
        <f t="shared" si="29"/>
        <v>-1459</v>
      </c>
      <c r="H49" s="118"/>
      <c r="I49" s="133"/>
      <c r="J49" s="19">
        <f t="shared" si="30"/>
        <v>-1459</v>
      </c>
      <c r="K49" s="106"/>
      <c r="L49" s="107"/>
      <c r="M49" s="26">
        <f t="shared" si="31"/>
        <v>-1459</v>
      </c>
      <c r="N49" s="117"/>
      <c r="O49" s="117"/>
      <c r="P49" s="19">
        <f t="shared" si="32"/>
        <v>-1459</v>
      </c>
      <c r="Q49" s="106"/>
      <c r="R49" s="107"/>
      <c r="S49" s="26">
        <f t="shared" si="33"/>
        <v>-1459</v>
      </c>
      <c r="T49" s="136"/>
      <c r="U49" s="136"/>
      <c r="V49" s="45">
        <f t="shared" si="34"/>
        <v>-1459</v>
      </c>
      <c r="W49" s="143"/>
    </row>
    <row r="50" spans="1:23" ht="15" customHeight="1">
      <c r="A50" s="114"/>
      <c r="B50" s="117"/>
      <c r="C50" s="117"/>
      <c r="D50" s="19">
        <f t="shared" si="28"/>
        <v>-1459</v>
      </c>
      <c r="E50" s="106"/>
      <c r="F50" s="170"/>
      <c r="G50" s="26">
        <f t="shared" si="29"/>
        <v>-1459</v>
      </c>
      <c r="H50" s="118"/>
      <c r="I50" s="133"/>
      <c r="J50" s="19">
        <f t="shared" si="30"/>
        <v>-1459</v>
      </c>
      <c r="K50" s="106"/>
      <c r="L50" s="107"/>
      <c r="M50" s="26">
        <f t="shared" si="31"/>
        <v>-1459</v>
      </c>
      <c r="N50" s="117"/>
      <c r="O50" s="117"/>
      <c r="P50" s="19">
        <f t="shared" si="32"/>
        <v>-1459</v>
      </c>
      <c r="Q50" s="106"/>
      <c r="R50" s="107"/>
      <c r="S50" s="26">
        <f t="shared" si="33"/>
        <v>-1459</v>
      </c>
      <c r="T50" s="136"/>
      <c r="U50" s="136"/>
      <c r="V50" s="45">
        <f t="shared" si="34"/>
        <v>-1459</v>
      </c>
      <c r="W50" s="143"/>
    </row>
    <row r="51" spans="1:23" ht="15" customHeight="1">
      <c r="A51" s="114"/>
      <c r="B51" s="118"/>
      <c r="C51" s="117"/>
      <c r="D51" s="19">
        <f t="shared" si="28"/>
        <v>-1459</v>
      </c>
      <c r="E51" s="106"/>
      <c r="F51" s="170"/>
      <c r="G51" s="26">
        <f t="shared" si="29"/>
        <v>-1459</v>
      </c>
      <c r="H51" s="118"/>
      <c r="I51" s="133"/>
      <c r="J51" s="19">
        <f t="shared" si="30"/>
        <v>-1459</v>
      </c>
      <c r="K51" s="106"/>
      <c r="L51" s="107"/>
      <c r="M51" s="26">
        <f t="shared" si="31"/>
        <v>-1459</v>
      </c>
      <c r="N51" s="117"/>
      <c r="O51" s="117"/>
      <c r="P51" s="19">
        <f t="shared" si="32"/>
        <v>-1459</v>
      </c>
      <c r="Q51" s="106"/>
      <c r="R51" s="107"/>
      <c r="S51" s="26">
        <f t="shared" si="33"/>
        <v>-1459</v>
      </c>
      <c r="T51" s="136"/>
      <c r="U51" s="136"/>
      <c r="V51" s="45">
        <f t="shared" si="34"/>
        <v>-1459</v>
      </c>
      <c r="W51" s="143"/>
    </row>
    <row r="52" spans="1:23" ht="15" customHeight="1">
      <c r="A52" s="114"/>
      <c r="B52" s="117"/>
      <c r="C52" s="117"/>
      <c r="D52" s="19">
        <f t="shared" si="28"/>
        <v>-1459</v>
      </c>
      <c r="E52" s="106"/>
      <c r="F52" s="170"/>
      <c r="G52" s="26">
        <f t="shared" si="29"/>
        <v>-1459</v>
      </c>
      <c r="H52" s="118"/>
      <c r="I52" s="133"/>
      <c r="J52" s="19">
        <f t="shared" si="30"/>
        <v>-1459</v>
      </c>
      <c r="K52" s="106"/>
      <c r="L52" s="107"/>
      <c r="M52" s="26">
        <f t="shared" si="31"/>
        <v>-1459</v>
      </c>
      <c r="N52" s="117"/>
      <c r="O52" s="117"/>
      <c r="P52" s="38">
        <f t="shared" si="32"/>
        <v>-1459</v>
      </c>
      <c r="Q52" s="106"/>
      <c r="R52" s="107"/>
      <c r="S52" s="26">
        <f t="shared" si="33"/>
        <v>-1459</v>
      </c>
      <c r="T52" s="136"/>
      <c r="U52" s="136"/>
      <c r="V52" s="45">
        <f t="shared" si="34"/>
        <v>-1459</v>
      </c>
      <c r="W52" s="143"/>
    </row>
    <row r="53" spans="1:23" ht="15" customHeight="1">
      <c r="A53" s="114"/>
      <c r="B53" s="117"/>
      <c r="C53" s="117"/>
      <c r="D53" s="19">
        <f t="shared" si="28"/>
        <v>-1459</v>
      </c>
      <c r="E53" s="106"/>
      <c r="F53" s="170"/>
      <c r="G53" s="26">
        <f t="shared" si="29"/>
        <v>-1459</v>
      </c>
      <c r="H53" s="117"/>
      <c r="I53" s="133"/>
      <c r="J53" s="19">
        <f t="shared" si="30"/>
        <v>-1459</v>
      </c>
      <c r="K53" s="106"/>
      <c r="L53" s="107"/>
      <c r="M53" s="26">
        <f t="shared" si="31"/>
        <v>-1459</v>
      </c>
      <c r="N53" s="117"/>
      <c r="O53" s="117"/>
      <c r="P53" s="38">
        <f t="shared" si="32"/>
        <v>-1459</v>
      </c>
      <c r="Q53" s="106"/>
      <c r="R53" s="107"/>
      <c r="S53" s="26">
        <f t="shared" si="33"/>
        <v>-1459</v>
      </c>
      <c r="T53" s="136"/>
      <c r="U53" s="136"/>
      <c r="V53" s="45">
        <f t="shared" si="34"/>
        <v>-1459</v>
      </c>
      <c r="W53" s="143"/>
    </row>
    <row r="54" spans="1:23" ht="15" customHeight="1">
      <c r="A54" s="114"/>
      <c r="B54" s="117"/>
      <c r="C54" s="117"/>
      <c r="D54" s="19">
        <f t="shared" si="28"/>
        <v>-1459</v>
      </c>
      <c r="E54" s="106"/>
      <c r="F54" s="170"/>
      <c r="G54" s="26">
        <f t="shared" si="29"/>
        <v>-1459</v>
      </c>
      <c r="H54" s="117"/>
      <c r="I54" s="133"/>
      <c r="J54" s="19">
        <f t="shared" si="30"/>
        <v>-1459</v>
      </c>
      <c r="K54" s="106"/>
      <c r="L54" s="107"/>
      <c r="M54" s="26">
        <f t="shared" si="31"/>
        <v>-1459</v>
      </c>
      <c r="N54" s="117"/>
      <c r="O54" s="117"/>
      <c r="P54" s="38">
        <f t="shared" si="32"/>
        <v>-1459</v>
      </c>
      <c r="Q54" s="106"/>
      <c r="R54" s="107"/>
      <c r="S54" s="26">
        <f t="shared" si="33"/>
        <v>-1459</v>
      </c>
      <c r="T54" s="118"/>
      <c r="U54" s="117"/>
      <c r="V54" s="45">
        <f t="shared" si="34"/>
        <v>-1459</v>
      </c>
      <c r="W54" s="143"/>
    </row>
    <row r="55" spans="1:23" ht="15" customHeight="1">
      <c r="A55" s="114"/>
      <c r="B55" s="117"/>
      <c r="C55" s="117"/>
      <c r="D55" s="19">
        <f t="shared" si="28"/>
        <v>-1459</v>
      </c>
      <c r="E55" s="122"/>
      <c r="F55" s="171"/>
      <c r="G55" s="26">
        <f t="shared" si="29"/>
        <v>-1459</v>
      </c>
      <c r="H55" s="117"/>
      <c r="I55" s="133"/>
      <c r="J55" s="19">
        <f t="shared" si="30"/>
        <v>-1459</v>
      </c>
      <c r="K55" s="122"/>
      <c r="L55" s="123"/>
      <c r="M55" s="26">
        <f t="shared" si="31"/>
        <v>-1459</v>
      </c>
      <c r="N55" s="117"/>
      <c r="O55" s="117"/>
      <c r="P55" s="38">
        <f t="shared" si="32"/>
        <v>-1459</v>
      </c>
      <c r="Q55" s="122"/>
      <c r="R55" s="123"/>
      <c r="S55" s="26">
        <f t="shared" si="33"/>
        <v>-1459</v>
      </c>
      <c r="T55" s="136"/>
      <c r="U55" s="136"/>
      <c r="V55" s="45">
        <f t="shared" si="34"/>
        <v>-1459</v>
      </c>
      <c r="W55" s="143"/>
    </row>
    <row r="56" spans="1:23" ht="15" customHeight="1">
      <c r="A56" s="114"/>
      <c r="B56" s="128"/>
      <c r="C56" s="128"/>
      <c r="D56" s="29">
        <f t="shared" si="28"/>
        <v>-1459</v>
      </c>
      <c r="E56" s="122"/>
      <c r="F56" s="171"/>
      <c r="G56" s="39">
        <f t="shared" si="29"/>
        <v>-1459</v>
      </c>
      <c r="H56" s="128"/>
      <c r="I56" s="140"/>
      <c r="J56" s="29">
        <f t="shared" si="30"/>
        <v>-1459</v>
      </c>
      <c r="K56" s="122"/>
      <c r="L56" s="123"/>
      <c r="M56" s="39">
        <f t="shared" si="31"/>
        <v>-1459</v>
      </c>
      <c r="N56" s="128"/>
      <c r="O56" s="128"/>
      <c r="P56" s="40">
        <f t="shared" si="32"/>
        <v>-1459</v>
      </c>
      <c r="Q56" s="122"/>
      <c r="R56" s="123"/>
      <c r="S56" s="39">
        <f t="shared" si="33"/>
        <v>-1459</v>
      </c>
      <c r="T56" s="141"/>
      <c r="U56" s="141"/>
      <c r="V56" s="46">
        <f t="shared" si="34"/>
        <v>-1459</v>
      </c>
      <c r="W56" s="143"/>
    </row>
    <row r="57" spans="1:23" ht="17.25" customHeight="1">
      <c r="A57" s="87"/>
      <c r="B57" s="77">
        <f ca="1">IFERROR(__xludf.DUMMYFUNCTION("DATE(VALUE(LEFT($B$2,4)),VALUE(MID($B$2,6,2)),VALUE(RIGHT($B$2,2)))
+ (VALUE(REGEXEXTRACT(INDIRECT(""A""&amp;ROW()+1),""\d+""))-1)*7
+ INT((COLUMN()-COLUMN($B57))/3)
"),47153)</f>
        <v>47153</v>
      </c>
      <c r="C57" s="81"/>
      <c r="D57" s="82"/>
      <c r="E57" s="77">
        <f ca="1">IFERROR(__xludf.DUMMYFUNCTION("DATE(VALUE(LEFT($B$2,4)),VALUE(MID($B$2,6,2)),VALUE(RIGHT($B$2,2)))
+ (VALUE(REGEXEXTRACT(INDIRECT(""A""&amp;ROW()+1),""\d+""))-1)*7
+ INT((COLUMN()-COLUMN($B57))/3)
"),47154)</f>
        <v>47154</v>
      </c>
      <c r="F57" s="81"/>
      <c r="G57" s="82"/>
      <c r="H57" s="77">
        <f ca="1">IFERROR(__xludf.DUMMYFUNCTION("DATE(VALUE(LEFT($B$2,4)),VALUE(MID($B$2,6,2)),VALUE(RIGHT($B$2,2)))
+ (VALUE(REGEXEXTRACT(INDIRECT(""A""&amp;ROW()+1),""\d+""))-1)*7
+ INT((COLUMN()-COLUMN($B57))/3)
"),47155)</f>
        <v>47155</v>
      </c>
      <c r="I57" s="81"/>
      <c r="J57" s="82"/>
      <c r="K57" s="77">
        <f ca="1">IFERROR(__xludf.DUMMYFUNCTION("DATE(VALUE(LEFT($B$2,4)),VALUE(MID($B$2,6,2)),VALUE(RIGHT($B$2,2)))
+ (VALUE(REGEXEXTRACT(INDIRECT(""A""&amp;ROW()+1),""\d+""))-1)*7
+ INT((COLUMN()-COLUMN($B57))/3)
"),47156)</f>
        <v>47156</v>
      </c>
      <c r="L57" s="81"/>
      <c r="M57" s="82"/>
      <c r="N57" s="77">
        <f ca="1">IFERROR(__xludf.DUMMYFUNCTION("DATE(VALUE(LEFT($B$2,4)),VALUE(MID($B$2,6,2)),VALUE(RIGHT($B$2,2)))
+ (VALUE(REGEXEXTRACT(INDIRECT(""A""&amp;ROW()+1),""\d+""))-1)*7
+ INT((COLUMN()-COLUMN($B57))/3)
"),47157)</f>
        <v>47157</v>
      </c>
      <c r="O57" s="81"/>
      <c r="P57" s="82"/>
      <c r="Q57" s="77">
        <f ca="1">IFERROR(__xludf.DUMMYFUNCTION("DATE(VALUE(LEFT($B$2,4)),VALUE(MID($B$2,6,2)),VALUE(RIGHT($B$2,2)))
+ (VALUE(REGEXEXTRACT(INDIRECT(""A""&amp;ROW()+1),""\d+""))-1)*7
+ INT((COLUMN()-COLUMN($B57))/3)
"),47158)</f>
        <v>47158</v>
      </c>
      <c r="R57" s="81"/>
      <c r="S57" s="82"/>
      <c r="T57" s="77">
        <f ca="1">IFERROR(__xludf.DUMMYFUNCTION("DATE(VALUE(LEFT($B$2,4)),VALUE(MID($B$2,6,2)),VALUE(RIGHT($B$2,2)))
+ (VALUE(REGEXEXTRACT(INDIRECT(""A""&amp;ROW()+1),""\d+""))-1)*7
+ INT((COLUMN()-COLUMN($B57))/3)
"),47159)</f>
        <v>47159</v>
      </c>
      <c r="U57" s="81"/>
      <c r="V57" s="82"/>
      <c r="W57" s="143"/>
    </row>
    <row r="58" spans="1:23" ht="15" customHeight="1">
      <c r="A58" s="51" t="s">
        <v>141</v>
      </c>
      <c r="B58" s="112"/>
      <c r="C58" s="111"/>
      <c r="D58" s="17">
        <f>V56+C58</f>
        <v>-1459</v>
      </c>
      <c r="E58" s="109"/>
      <c r="F58" s="109"/>
      <c r="G58" s="42">
        <f>D66+F58</f>
        <v>-1459</v>
      </c>
      <c r="H58" s="112"/>
      <c r="I58" s="111"/>
      <c r="J58" s="17">
        <f>G66+I58</f>
        <v>-1459</v>
      </c>
      <c r="K58" s="109"/>
      <c r="L58" s="109"/>
      <c r="M58" s="35">
        <f>J66+L58</f>
        <v>-1459</v>
      </c>
      <c r="N58" s="112"/>
      <c r="O58" s="111"/>
      <c r="P58" s="17">
        <f>M66+O58</f>
        <v>-1459</v>
      </c>
      <c r="Q58" s="109"/>
      <c r="R58" s="109"/>
      <c r="S58" s="35">
        <f>P66+R58</f>
        <v>-1459</v>
      </c>
      <c r="T58" s="112"/>
      <c r="U58" s="111"/>
      <c r="V58" s="48">
        <f>S66+U58</f>
        <v>-1459</v>
      </c>
      <c r="W58" s="143"/>
    </row>
    <row r="59" spans="1:23" ht="15" customHeight="1">
      <c r="A59" s="114"/>
      <c r="B59" s="106"/>
      <c r="C59" s="107"/>
      <c r="D59" s="26">
        <f t="shared" ref="D59:D66" si="35">D58+C59</f>
        <v>-1459</v>
      </c>
      <c r="E59" s="117"/>
      <c r="F59" s="117"/>
      <c r="G59" s="19">
        <f t="shared" ref="G59:G66" si="36">G58+F59</f>
        <v>-1459</v>
      </c>
      <c r="H59" s="106"/>
      <c r="I59" s="107"/>
      <c r="J59" s="26">
        <f t="shared" ref="J59:J66" si="37">J58+I59</f>
        <v>-1459</v>
      </c>
      <c r="K59" s="117"/>
      <c r="L59" s="117"/>
      <c r="M59" s="38">
        <f t="shared" ref="M59:M66" si="38">M58+L59</f>
        <v>-1459</v>
      </c>
      <c r="N59" s="106"/>
      <c r="O59" s="107"/>
      <c r="P59" s="26">
        <f t="shared" ref="P59:P66" si="39">P58+O59</f>
        <v>-1459</v>
      </c>
      <c r="Q59" s="117"/>
      <c r="R59" s="117"/>
      <c r="S59" s="38">
        <f t="shared" ref="S59:S66" si="40">S58+R59</f>
        <v>-1459</v>
      </c>
      <c r="T59" s="106"/>
      <c r="U59" s="107"/>
      <c r="V59" s="20">
        <f t="shared" ref="V59:V66" si="41">V58+U59</f>
        <v>-1459</v>
      </c>
      <c r="W59" s="143"/>
    </row>
    <row r="60" spans="1:23" ht="15" customHeight="1">
      <c r="A60" s="114"/>
      <c r="B60" s="106"/>
      <c r="C60" s="107"/>
      <c r="D60" s="26">
        <f t="shared" si="35"/>
        <v>-1459</v>
      </c>
      <c r="E60" s="117"/>
      <c r="F60" s="117"/>
      <c r="G60" s="19">
        <f t="shared" si="36"/>
        <v>-1459</v>
      </c>
      <c r="H60" s="106"/>
      <c r="I60" s="107"/>
      <c r="J60" s="26">
        <f t="shared" si="37"/>
        <v>-1459</v>
      </c>
      <c r="K60" s="117"/>
      <c r="L60" s="117"/>
      <c r="M60" s="38">
        <f t="shared" si="38"/>
        <v>-1459</v>
      </c>
      <c r="N60" s="106"/>
      <c r="O60" s="107"/>
      <c r="P60" s="26">
        <f t="shared" si="39"/>
        <v>-1459</v>
      </c>
      <c r="Q60" s="117"/>
      <c r="R60" s="117"/>
      <c r="S60" s="38">
        <f t="shared" si="40"/>
        <v>-1459</v>
      </c>
      <c r="T60" s="106"/>
      <c r="U60" s="116"/>
      <c r="V60" s="20">
        <f t="shared" si="41"/>
        <v>-1459</v>
      </c>
      <c r="W60" s="143"/>
    </row>
    <row r="61" spans="1:23" ht="15" customHeight="1">
      <c r="A61" s="114"/>
      <c r="B61" s="106"/>
      <c r="C61" s="107"/>
      <c r="D61" s="26">
        <f t="shared" si="35"/>
        <v>-1459</v>
      </c>
      <c r="E61" s="117"/>
      <c r="F61" s="117"/>
      <c r="G61" s="19">
        <f t="shared" si="36"/>
        <v>-1459</v>
      </c>
      <c r="H61" s="106"/>
      <c r="I61" s="107"/>
      <c r="J61" s="26">
        <f t="shared" si="37"/>
        <v>-1459</v>
      </c>
      <c r="K61" s="117"/>
      <c r="L61" s="117"/>
      <c r="M61" s="38">
        <f t="shared" si="38"/>
        <v>-1459</v>
      </c>
      <c r="N61" s="106"/>
      <c r="O61" s="107"/>
      <c r="P61" s="26">
        <f t="shared" si="39"/>
        <v>-1459</v>
      </c>
      <c r="Q61" s="117"/>
      <c r="R61" s="117"/>
      <c r="S61" s="38">
        <f t="shared" si="40"/>
        <v>-1459</v>
      </c>
      <c r="T61" s="106"/>
      <c r="U61" s="116"/>
      <c r="V61" s="20">
        <f t="shared" si="41"/>
        <v>-1459</v>
      </c>
      <c r="W61" s="143"/>
    </row>
    <row r="62" spans="1:23" ht="15" customHeight="1">
      <c r="A62" s="114"/>
      <c r="B62" s="106"/>
      <c r="C62" s="107"/>
      <c r="D62" s="26">
        <f t="shared" si="35"/>
        <v>-1459</v>
      </c>
      <c r="E62" s="117"/>
      <c r="F62" s="117"/>
      <c r="G62" s="19">
        <f t="shared" si="36"/>
        <v>-1459</v>
      </c>
      <c r="H62" s="106"/>
      <c r="I62" s="107"/>
      <c r="J62" s="26">
        <f t="shared" si="37"/>
        <v>-1459</v>
      </c>
      <c r="K62" s="117"/>
      <c r="L62" s="117"/>
      <c r="M62" s="38">
        <f t="shared" si="38"/>
        <v>-1459</v>
      </c>
      <c r="N62" s="106"/>
      <c r="O62" s="107"/>
      <c r="P62" s="26">
        <f t="shared" si="39"/>
        <v>-1459</v>
      </c>
      <c r="Q62" s="117"/>
      <c r="R62" s="117"/>
      <c r="S62" s="38">
        <f t="shared" si="40"/>
        <v>-1459</v>
      </c>
      <c r="T62" s="106"/>
      <c r="U62" s="116"/>
      <c r="V62" s="20">
        <f t="shared" si="41"/>
        <v>-1459</v>
      </c>
      <c r="W62" s="143"/>
    </row>
    <row r="63" spans="1:23" ht="15" customHeight="1">
      <c r="A63" s="114"/>
      <c r="B63" s="106"/>
      <c r="C63" s="107"/>
      <c r="D63" s="26">
        <f t="shared" si="35"/>
        <v>-1459</v>
      </c>
      <c r="E63" s="117"/>
      <c r="F63" s="117"/>
      <c r="G63" s="19">
        <f t="shared" si="36"/>
        <v>-1459</v>
      </c>
      <c r="H63" s="106"/>
      <c r="I63" s="107"/>
      <c r="J63" s="26">
        <f t="shared" si="37"/>
        <v>-1459</v>
      </c>
      <c r="K63" s="117"/>
      <c r="L63" s="117"/>
      <c r="M63" s="38">
        <f t="shared" si="38"/>
        <v>-1459</v>
      </c>
      <c r="N63" s="106"/>
      <c r="O63" s="107"/>
      <c r="P63" s="26">
        <f t="shared" si="39"/>
        <v>-1459</v>
      </c>
      <c r="Q63" s="117"/>
      <c r="R63" s="117"/>
      <c r="S63" s="38">
        <f t="shared" si="40"/>
        <v>-1459</v>
      </c>
      <c r="T63" s="106"/>
      <c r="U63" s="116"/>
      <c r="V63" s="20">
        <f t="shared" si="41"/>
        <v>-1459</v>
      </c>
      <c r="W63" s="143"/>
    </row>
    <row r="64" spans="1:23" ht="15" customHeight="1">
      <c r="A64" s="114"/>
      <c r="B64" s="106"/>
      <c r="C64" s="107"/>
      <c r="D64" s="26">
        <f t="shared" si="35"/>
        <v>-1459</v>
      </c>
      <c r="E64" s="117"/>
      <c r="F64" s="117"/>
      <c r="G64" s="19">
        <f t="shared" si="36"/>
        <v>-1459</v>
      </c>
      <c r="H64" s="106"/>
      <c r="I64" s="107"/>
      <c r="J64" s="26">
        <f t="shared" si="37"/>
        <v>-1459</v>
      </c>
      <c r="K64" s="117"/>
      <c r="L64" s="117"/>
      <c r="M64" s="38">
        <f t="shared" si="38"/>
        <v>-1459</v>
      </c>
      <c r="N64" s="106"/>
      <c r="O64" s="107"/>
      <c r="P64" s="26">
        <f t="shared" si="39"/>
        <v>-1459</v>
      </c>
      <c r="Q64" s="117"/>
      <c r="R64" s="117"/>
      <c r="S64" s="38">
        <f t="shared" si="40"/>
        <v>-1459</v>
      </c>
      <c r="T64" s="106"/>
      <c r="U64" s="116"/>
      <c r="V64" s="20">
        <f t="shared" si="41"/>
        <v>-1459</v>
      </c>
      <c r="W64" s="143"/>
    </row>
    <row r="65" spans="1:23" ht="15" customHeight="1">
      <c r="A65" s="114"/>
      <c r="B65" s="106"/>
      <c r="C65" s="107"/>
      <c r="D65" s="26">
        <f t="shared" si="35"/>
        <v>-1459</v>
      </c>
      <c r="E65" s="117"/>
      <c r="F65" s="117"/>
      <c r="G65" s="19">
        <f t="shared" si="36"/>
        <v>-1459</v>
      </c>
      <c r="H65" s="106"/>
      <c r="I65" s="107"/>
      <c r="J65" s="26">
        <f t="shared" si="37"/>
        <v>-1459</v>
      </c>
      <c r="K65" s="117"/>
      <c r="L65" s="117"/>
      <c r="M65" s="38">
        <f t="shared" si="38"/>
        <v>-1459</v>
      </c>
      <c r="N65" s="106"/>
      <c r="O65" s="107"/>
      <c r="P65" s="26">
        <f t="shared" si="39"/>
        <v>-1459</v>
      </c>
      <c r="Q65" s="117"/>
      <c r="R65" s="117"/>
      <c r="S65" s="38">
        <f t="shared" si="40"/>
        <v>-1459</v>
      </c>
      <c r="T65" s="106"/>
      <c r="U65" s="116"/>
      <c r="V65" s="20">
        <f t="shared" si="41"/>
        <v>-1459</v>
      </c>
      <c r="W65" s="143"/>
    </row>
    <row r="66" spans="1:23" ht="15" customHeight="1">
      <c r="A66" s="114"/>
      <c r="B66" s="166"/>
      <c r="C66" s="167"/>
      <c r="D66" s="39">
        <f t="shared" si="35"/>
        <v>-1459</v>
      </c>
      <c r="E66" s="128"/>
      <c r="F66" s="128"/>
      <c r="G66" s="29">
        <f t="shared" si="36"/>
        <v>-1459</v>
      </c>
      <c r="H66" s="122"/>
      <c r="I66" s="123"/>
      <c r="J66" s="39">
        <f t="shared" si="37"/>
        <v>-1459</v>
      </c>
      <c r="K66" s="128"/>
      <c r="L66" s="128"/>
      <c r="M66" s="40">
        <f t="shared" si="38"/>
        <v>-1459</v>
      </c>
      <c r="N66" s="122"/>
      <c r="O66" s="123"/>
      <c r="P66" s="39">
        <f t="shared" si="39"/>
        <v>-1459</v>
      </c>
      <c r="Q66" s="128"/>
      <c r="R66" s="128"/>
      <c r="S66" s="40">
        <f t="shared" si="40"/>
        <v>-1459</v>
      </c>
      <c r="T66" s="122"/>
      <c r="U66" s="124"/>
      <c r="V66" s="49">
        <f t="shared" si="41"/>
        <v>-1459</v>
      </c>
      <c r="W66" s="143"/>
    </row>
    <row r="67" spans="1:23" ht="17.25" customHeight="1">
      <c r="A67" s="87"/>
      <c r="B67" s="77">
        <f ca="1">IFERROR(__xludf.DUMMYFUNCTION("DATE(VALUE(LEFT($B$2,4)),VALUE(MID($B$2,6,2)),VALUE(RIGHT($B$2,2)))
+ (VALUE(REGEXEXTRACT(INDIRECT(""A""&amp;ROW()+1),""\d+""))-1)*7
+ INT((COLUMN()-COLUMN($B67))/3)
"),47160)</f>
        <v>47160</v>
      </c>
      <c r="C67" s="81"/>
      <c r="D67" s="82"/>
      <c r="E67" s="77">
        <f ca="1">IFERROR(__xludf.DUMMYFUNCTION("DATE(VALUE(LEFT($B$2,4)),VALUE(MID($B$2,6,2)),VALUE(RIGHT($B$2,2)))
+ (VALUE(REGEXEXTRACT(INDIRECT(""A""&amp;ROW()+1),""\d+""))-1)*7
+ INT((COLUMN()-COLUMN($B67))/3)
"),47161)</f>
        <v>47161</v>
      </c>
      <c r="F67" s="81"/>
      <c r="G67" s="82"/>
      <c r="H67" s="77">
        <f ca="1">IFERROR(__xludf.DUMMYFUNCTION("DATE(VALUE(LEFT($B$2,4)),VALUE(MID($B$2,6,2)),VALUE(RIGHT($B$2,2)))
+ (VALUE(REGEXEXTRACT(INDIRECT(""A""&amp;ROW()+1),""\d+""))-1)*7
+ INT((COLUMN()-COLUMN($B67))/3)
"),47162)</f>
        <v>47162</v>
      </c>
      <c r="I67" s="81"/>
      <c r="J67" s="82"/>
      <c r="K67" s="77">
        <f ca="1">IFERROR(__xludf.DUMMYFUNCTION("DATE(VALUE(LEFT($B$2,4)),VALUE(MID($B$2,6,2)),VALUE(RIGHT($B$2,2)))
+ (VALUE(REGEXEXTRACT(INDIRECT(""A""&amp;ROW()+1),""\d+""))-1)*7
+ INT((COLUMN()-COLUMN($B67))/3)
"),47163)</f>
        <v>47163</v>
      </c>
      <c r="L67" s="81"/>
      <c r="M67" s="82"/>
      <c r="N67" s="77">
        <f ca="1">IFERROR(__xludf.DUMMYFUNCTION("DATE(VALUE(LEFT($B$2,4)),VALUE(MID($B$2,6,2)),VALUE(RIGHT($B$2,2)))
+ (VALUE(REGEXEXTRACT(INDIRECT(""A""&amp;ROW()+1),""\d+""))-1)*7
+ INT((COLUMN()-COLUMN($B67))/3)
"),47164)</f>
        <v>47164</v>
      </c>
      <c r="O67" s="81"/>
      <c r="P67" s="82"/>
      <c r="Q67" s="77">
        <f ca="1">IFERROR(__xludf.DUMMYFUNCTION("DATE(VALUE(LEFT($B$2,4)),VALUE(MID($B$2,6,2)),VALUE(RIGHT($B$2,2)))
+ (VALUE(REGEXEXTRACT(INDIRECT(""A""&amp;ROW()+1),""\d+""))-1)*7
+ INT((COLUMN()-COLUMN($B67))/3)
"),47165)</f>
        <v>47165</v>
      </c>
      <c r="R67" s="81"/>
      <c r="S67" s="82"/>
      <c r="T67" s="77">
        <f ca="1">IFERROR(__xludf.DUMMYFUNCTION("DATE(VALUE(LEFT($B$2,4)),VALUE(MID($B$2,6,2)),VALUE(RIGHT($B$2,2)))
+ (VALUE(REGEXEXTRACT(INDIRECT(""A""&amp;ROW()+1),""\d+""))-1)*7
+ INT((COLUMN()-COLUMN($B67))/3)
"),47166)</f>
        <v>47166</v>
      </c>
      <c r="U67" s="81"/>
      <c r="V67" s="82"/>
      <c r="W67" s="52" t="s">
        <v>20</v>
      </c>
    </row>
    <row r="68" spans="1:23" ht="17.25" customHeight="1">
      <c r="A68" s="47" t="s">
        <v>142</v>
      </c>
      <c r="B68" s="113"/>
      <c r="C68" s="109"/>
      <c r="D68" s="42">
        <f>V66+C68</f>
        <v>-1459</v>
      </c>
      <c r="E68" s="112"/>
      <c r="F68" s="111"/>
      <c r="G68" s="36">
        <f>D78+F68</f>
        <v>-1459</v>
      </c>
      <c r="H68" s="132"/>
      <c r="I68" s="109"/>
      <c r="J68" s="42">
        <f>G78+I68</f>
        <v>-1459</v>
      </c>
      <c r="K68" s="112"/>
      <c r="L68" s="111"/>
      <c r="M68" s="18">
        <f>J78+L68</f>
        <v>-1459</v>
      </c>
      <c r="N68" s="113"/>
      <c r="O68" s="109"/>
      <c r="P68" s="35">
        <f>M78+O68</f>
        <v>-1459</v>
      </c>
      <c r="Q68" s="112"/>
      <c r="R68" s="111"/>
      <c r="S68" s="18">
        <f>P78+R68</f>
        <v>-1459</v>
      </c>
      <c r="T68" s="113"/>
      <c r="U68" s="109"/>
      <c r="V68" s="50">
        <f>S78+U68</f>
        <v>-1459</v>
      </c>
      <c r="W68" s="172"/>
    </row>
    <row r="69" spans="1:23" ht="15" customHeight="1">
      <c r="A69" s="114"/>
      <c r="B69" s="118"/>
      <c r="C69" s="117"/>
      <c r="D69" s="19">
        <f t="shared" ref="D69:D78" si="42">D68+C69</f>
        <v>-1459</v>
      </c>
      <c r="E69" s="106"/>
      <c r="F69" s="107"/>
      <c r="G69" s="26">
        <f t="shared" ref="G69:G78" si="43">G68+F69</f>
        <v>-1459</v>
      </c>
      <c r="H69" s="133"/>
      <c r="I69" s="117"/>
      <c r="J69" s="19">
        <f t="shared" ref="J69:J78" si="44">J68+I69</f>
        <v>-1459</v>
      </c>
      <c r="K69" s="106"/>
      <c r="L69" s="107"/>
      <c r="M69" s="26">
        <f t="shared" ref="M69:M78" si="45">M68+L69</f>
        <v>-1459</v>
      </c>
      <c r="N69" s="118"/>
      <c r="O69" s="117"/>
      <c r="P69" s="38">
        <f t="shared" ref="P69:P78" si="46">P68+O69</f>
        <v>-1459</v>
      </c>
      <c r="Q69" s="106"/>
      <c r="R69" s="107"/>
      <c r="S69" s="26">
        <f t="shared" ref="S69:S78" si="47">S68+R69</f>
        <v>-1459</v>
      </c>
      <c r="T69" s="117"/>
      <c r="U69" s="117"/>
      <c r="V69" s="45">
        <f t="shared" ref="V69:V78" si="48">V68+U69</f>
        <v>-1459</v>
      </c>
      <c r="W69" s="143"/>
    </row>
    <row r="70" spans="1:23" ht="15" customHeight="1">
      <c r="A70" s="114"/>
      <c r="B70" s="118"/>
      <c r="C70" s="117"/>
      <c r="D70" s="19">
        <f t="shared" si="42"/>
        <v>-1459</v>
      </c>
      <c r="E70" s="106"/>
      <c r="F70" s="107"/>
      <c r="G70" s="26">
        <f t="shared" si="43"/>
        <v>-1459</v>
      </c>
      <c r="H70" s="133"/>
      <c r="I70" s="117"/>
      <c r="J70" s="19">
        <f t="shared" si="44"/>
        <v>-1459</v>
      </c>
      <c r="K70" s="106"/>
      <c r="L70" s="107"/>
      <c r="M70" s="26">
        <f t="shared" si="45"/>
        <v>-1459</v>
      </c>
      <c r="N70" s="117"/>
      <c r="O70" s="117"/>
      <c r="P70" s="38">
        <f t="shared" si="46"/>
        <v>-1459</v>
      </c>
      <c r="Q70" s="106"/>
      <c r="R70" s="107"/>
      <c r="S70" s="26">
        <f t="shared" si="47"/>
        <v>-1459</v>
      </c>
      <c r="T70" s="117"/>
      <c r="U70" s="117"/>
      <c r="V70" s="45">
        <f t="shared" si="48"/>
        <v>-1459</v>
      </c>
      <c r="W70" s="143"/>
    </row>
    <row r="71" spans="1:23" ht="15" customHeight="1">
      <c r="A71" s="114"/>
      <c r="B71" s="118"/>
      <c r="C71" s="117"/>
      <c r="D71" s="19">
        <f t="shared" si="42"/>
        <v>-1459</v>
      </c>
      <c r="E71" s="106"/>
      <c r="F71" s="107"/>
      <c r="G71" s="26">
        <f t="shared" si="43"/>
        <v>-1459</v>
      </c>
      <c r="H71" s="117"/>
      <c r="I71" s="117"/>
      <c r="J71" s="19">
        <f t="shared" si="44"/>
        <v>-1459</v>
      </c>
      <c r="K71" s="106"/>
      <c r="L71" s="107"/>
      <c r="M71" s="26">
        <f t="shared" si="45"/>
        <v>-1459</v>
      </c>
      <c r="N71" s="117"/>
      <c r="O71" s="117"/>
      <c r="P71" s="38">
        <f t="shared" si="46"/>
        <v>-1459</v>
      </c>
      <c r="Q71" s="106"/>
      <c r="R71" s="107"/>
      <c r="S71" s="26">
        <f t="shared" si="47"/>
        <v>-1459</v>
      </c>
      <c r="T71" s="117"/>
      <c r="U71" s="117"/>
      <c r="V71" s="45">
        <f t="shared" si="48"/>
        <v>-1459</v>
      </c>
      <c r="W71" s="143"/>
    </row>
    <row r="72" spans="1:23" ht="15" customHeight="1">
      <c r="A72" s="114"/>
      <c r="B72" s="118"/>
      <c r="C72" s="117"/>
      <c r="D72" s="19">
        <f t="shared" si="42"/>
        <v>-1459</v>
      </c>
      <c r="E72" s="106"/>
      <c r="F72" s="107"/>
      <c r="G72" s="26">
        <f t="shared" si="43"/>
        <v>-1459</v>
      </c>
      <c r="H72" s="117"/>
      <c r="I72" s="117"/>
      <c r="J72" s="19">
        <f t="shared" si="44"/>
        <v>-1459</v>
      </c>
      <c r="K72" s="106"/>
      <c r="L72" s="107"/>
      <c r="M72" s="26">
        <f t="shared" si="45"/>
        <v>-1459</v>
      </c>
      <c r="N72" s="117"/>
      <c r="O72" s="117"/>
      <c r="P72" s="38">
        <f t="shared" si="46"/>
        <v>-1459</v>
      </c>
      <c r="Q72" s="106"/>
      <c r="R72" s="107"/>
      <c r="S72" s="26">
        <f t="shared" si="47"/>
        <v>-1459</v>
      </c>
      <c r="T72" s="136"/>
      <c r="U72" s="136"/>
      <c r="V72" s="45">
        <f t="shared" si="48"/>
        <v>-1459</v>
      </c>
      <c r="W72" s="143"/>
    </row>
    <row r="73" spans="1:23" ht="15" customHeight="1">
      <c r="A73" s="114"/>
      <c r="B73" s="118"/>
      <c r="C73" s="117"/>
      <c r="D73" s="19">
        <f t="shared" si="42"/>
        <v>-1459</v>
      </c>
      <c r="E73" s="106"/>
      <c r="F73" s="107"/>
      <c r="G73" s="26">
        <f t="shared" si="43"/>
        <v>-1459</v>
      </c>
      <c r="H73" s="117"/>
      <c r="I73" s="117"/>
      <c r="J73" s="19">
        <f t="shared" si="44"/>
        <v>-1459</v>
      </c>
      <c r="K73" s="106"/>
      <c r="L73" s="107"/>
      <c r="M73" s="26">
        <f t="shared" si="45"/>
        <v>-1459</v>
      </c>
      <c r="N73" s="117"/>
      <c r="O73" s="117"/>
      <c r="P73" s="38">
        <f t="shared" si="46"/>
        <v>-1459</v>
      </c>
      <c r="Q73" s="106"/>
      <c r="R73" s="107"/>
      <c r="S73" s="26">
        <f t="shared" si="47"/>
        <v>-1459</v>
      </c>
      <c r="T73" s="136"/>
      <c r="U73" s="136"/>
      <c r="V73" s="45">
        <f t="shared" si="48"/>
        <v>-1459</v>
      </c>
      <c r="W73" s="143"/>
    </row>
    <row r="74" spans="1:23" ht="15" customHeight="1">
      <c r="A74" s="114"/>
      <c r="B74" s="117"/>
      <c r="C74" s="117"/>
      <c r="D74" s="19">
        <f t="shared" si="42"/>
        <v>-1459</v>
      </c>
      <c r="E74" s="106"/>
      <c r="F74" s="107"/>
      <c r="G74" s="26">
        <f t="shared" si="43"/>
        <v>-1459</v>
      </c>
      <c r="H74" s="117"/>
      <c r="I74" s="117"/>
      <c r="J74" s="19">
        <f t="shared" si="44"/>
        <v>-1459</v>
      </c>
      <c r="K74" s="106"/>
      <c r="L74" s="107"/>
      <c r="M74" s="26">
        <f t="shared" si="45"/>
        <v>-1459</v>
      </c>
      <c r="N74" s="117"/>
      <c r="O74" s="117"/>
      <c r="P74" s="38">
        <f t="shared" si="46"/>
        <v>-1459</v>
      </c>
      <c r="Q74" s="106"/>
      <c r="R74" s="107"/>
      <c r="S74" s="26">
        <f t="shared" si="47"/>
        <v>-1459</v>
      </c>
      <c r="T74" s="133"/>
      <c r="U74" s="117"/>
      <c r="V74" s="45">
        <f t="shared" si="48"/>
        <v>-1459</v>
      </c>
      <c r="W74" s="143"/>
    </row>
    <row r="75" spans="1:23" ht="15" customHeight="1">
      <c r="A75" s="114"/>
      <c r="B75" s="117"/>
      <c r="C75" s="117"/>
      <c r="D75" s="19">
        <f t="shared" si="42"/>
        <v>-1459</v>
      </c>
      <c r="E75" s="106"/>
      <c r="F75" s="107"/>
      <c r="G75" s="26">
        <f t="shared" si="43"/>
        <v>-1459</v>
      </c>
      <c r="H75" s="117"/>
      <c r="I75" s="117"/>
      <c r="J75" s="19">
        <f t="shared" si="44"/>
        <v>-1459</v>
      </c>
      <c r="K75" s="106"/>
      <c r="L75" s="107"/>
      <c r="M75" s="26">
        <f t="shared" si="45"/>
        <v>-1459</v>
      </c>
      <c r="N75" s="117"/>
      <c r="O75" s="117"/>
      <c r="P75" s="38">
        <f t="shared" si="46"/>
        <v>-1459</v>
      </c>
      <c r="Q75" s="106"/>
      <c r="R75" s="107"/>
      <c r="S75" s="26">
        <f t="shared" si="47"/>
        <v>-1459</v>
      </c>
      <c r="T75" s="133"/>
      <c r="U75" s="117"/>
      <c r="V75" s="45">
        <f t="shared" si="48"/>
        <v>-1459</v>
      </c>
      <c r="W75" s="143"/>
    </row>
    <row r="76" spans="1:23" ht="15" customHeight="1">
      <c r="A76" s="114"/>
      <c r="B76" s="117"/>
      <c r="C76" s="117"/>
      <c r="D76" s="19">
        <f t="shared" si="42"/>
        <v>-1459</v>
      </c>
      <c r="E76" s="106"/>
      <c r="F76" s="107"/>
      <c r="G76" s="26">
        <f t="shared" si="43"/>
        <v>-1459</v>
      </c>
      <c r="H76" s="117"/>
      <c r="I76" s="117"/>
      <c r="J76" s="19">
        <f t="shared" si="44"/>
        <v>-1459</v>
      </c>
      <c r="K76" s="106"/>
      <c r="L76" s="107"/>
      <c r="M76" s="26">
        <f t="shared" si="45"/>
        <v>-1459</v>
      </c>
      <c r="N76" s="117"/>
      <c r="O76" s="117"/>
      <c r="P76" s="38">
        <f t="shared" si="46"/>
        <v>-1459</v>
      </c>
      <c r="Q76" s="106"/>
      <c r="R76" s="107"/>
      <c r="S76" s="26">
        <f t="shared" si="47"/>
        <v>-1459</v>
      </c>
      <c r="T76" s="117"/>
      <c r="U76" s="117"/>
      <c r="V76" s="45">
        <f t="shared" si="48"/>
        <v>-1459</v>
      </c>
      <c r="W76" s="143"/>
    </row>
    <row r="77" spans="1:23" ht="15" customHeight="1">
      <c r="A77" s="114"/>
      <c r="B77" s="117"/>
      <c r="C77" s="117"/>
      <c r="D77" s="19">
        <f t="shared" si="42"/>
        <v>-1459</v>
      </c>
      <c r="E77" s="122"/>
      <c r="F77" s="123"/>
      <c r="G77" s="26">
        <f t="shared" si="43"/>
        <v>-1459</v>
      </c>
      <c r="H77" s="133"/>
      <c r="I77" s="117"/>
      <c r="J77" s="19">
        <f t="shared" si="44"/>
        <v>-1459</v>
      </c>
      <c r="K77" s="122"/>
      <c r="L77" s="123"/>
      <c r="M77" s="26">
        <f t="shared" si="45"/>
        <v>-1459</v>
      </c>
      <c r="N77" s="117"/>
      <c r="O77" s="117"/>
      <c r="P77" s="38">
        <f t="shared" si="46"/>
        <v>-1459</v>
      </c>
      <c r="Q77" s="122"/>
      <c r="R77" s="123"/>
      <c r="S77" s="26">
        <f t="shared" si="47"/>
        <v>-1459</v>
      </c>
      <c r="T77" s="136"/>
      <c r="U77" s="136"/>
      <c r="V77" s="45">
        <f t="shared" si="48"/>
        <v>-1459</v>
      </c>
      <c r="W77" s="143"/>
    </row>
    <row r="78" spans="1:23" ht="15" customHeight="1">
      <c r="A78" s="114"/>
      <c r="B78" s="128"/>
      <c r="C78" s="128"/>
      <c r="D78" s="29">
        <f t="shared" si="42"/>
        <v>-1459</v>
      </c>
      <c r="E78" s="122"/>
      <c r="F78" s="123"/>
      <c r="G78" s="53">
        <f t="shared" si="43"/>
        <v>-1459</v>
      </c>
      <c r="H78" s="140"/>
      <c r="I78" s="128"/>
      <c r="J78" s="29">
        <f t="shared" si="44"/>
        <v>-1459</v>
      </c>
      <c r="K78" s="122"/>
      <c r="L78" s="123"/>
      <c r="M78" s="39">
        <f t="shared" si="45"/>
        <v>-1459</v>
      </c>
      <c r="N78" s="128"/>
      <c r="O78" s="128"/>
      <c r="P78" s="40">
        <f t="shared" si="46"/>
        <v>-1459</v>
      </c>
      <c r="Q78" s="122"/>
      <c r="R78" s="123"/>
      <c r="S78" s="39">
        <f t="shared" si="47"/>
        <v>-1459</v>
      </c>
      <c r="T78" s="141"/>
      <c r="U78" s="141"/>
      <c r="V78" s="46">
        <f t="shared" si="48"/>
        <v>-1459</v>
      </c>
      <c r="W78" s="143"/>
    </row>
    <row r="79" spans="1:23" ht="17.25" customHeight="1">
      <c r="A79" s="87"/>
      <c r="B79" s="77">
        <f ca="1">IFERROR(__xludf.DUMMYFUNCTION("DATE(VALUE(LEFT($B$2,4)),VALUE(MID($B$2,6,2)),VALUE(RIGHT($B$2,2)))
+ (VALUE(REGEXEXTRACT(INDIRECT(""A""&amp;ROW()+1),""\d+""))-1)*7
+ INT((COLUMN()-COLUMN($B79))/3)
"),47167)</f>
        <v>47167</v>
      </c>
      <c r="C79" s="81"/>
      <c r="D79" s="82"/>
      <c r="E79" s="77">
        <f ca="1">IFERROR(__xludf.DUMMYFUNCTION("DATE(VALUE(LEFT($B$2,4)),VALUE(MID($B$2,6,2)),VALUE(RIGHT($B$2,2)))
+ (VALUE(REGEXEXTRACT(INDIRECT(""A""&amp;ROW()+1),""\d+""))-1)*7
+ INT((COLUMN()-COLUMN($B79))/3)
"),47168)</f>
        <v>47168</v>
      </c>
      <c r="F79" s="81"/>
      <c r="G79" s="82"/>
      <c r="H79" s="77">
        <f ca="1">IFERROR(__xludf.DUMMYFUNCTION("DATE(VALUE(LEFT($B$2,4)),VALUE(MID($B$2,6,2)),VALUE(RIGHT($B$2,2)))
+ (VALUE(REGEXEXTRACT(INDIRECT(""A""&amp;ROW()+1),""\d+""))-1)*7
+ INT((COLUMN()-COLUMN($B79))/3)
"),47169)</f>
        <v>47169</v>
      </c>
      <c r="I79" s="81"/>
      <c r="J79" s="82"/>
      <c r="K79" s="77">
        <f ca="1">IFERROR(__xludf.DUMMYFUNCTION("DATE(VALUE(LEFT($B$2,4)),VALUE(MID($B$2,6,2)),VALUE(RIGHT($B$2,2)))
+ (VALUE(REGEXEXTRACT(INDIRECT(""A""&amp;ROW()+1),""\d+""))-1)*7
+ INT((COLUMN()-COLUMN($B79))/3)
"),47170)</f>
        <v>47170</v>
      </c>
      <c r="L79" s="81"/>
      <c r="M79" s="82"/>
      <c r="N79" s="77">
        <f ca="1">IFERROR(__xludf.DUMMYFUNCTION("DATE(VALUE(LEFT($B$2,4)),VALUE(MID($B$2,6,2)),VALUE(RIGHT($B$2,2)))
+ (VALUE(REGEXEXTRACT(INDIRECT(""A""&amp;ROW()+1),""\d+""))-1)*7
+ INT((COLUMN()-COLUMN($B79))/3)
"),47171)</f>
        <v>47171</v>
      </c>
      <c r="O79" s="81"/>
      <c r="P79" s="82"/>
      <c r="Q79" s="77">
        <f ca="1">IFERROR(__xludf.DUMMYFUNCTION("DATE(VALUE(LEFT($B$2,4)),VALUE(MID($B$2,6,2)),VALUE(RIGHT($B$2,2)))
+ (VALUE(REGEXEXTRACT(INDIRECT(""A""&amp;ROW()+1),""\d+""))-1)*7
+ INT((COLUMN()-COLUMN($B79))/3)
"),47172)</f>
        <v>47172</v>
      </c>
      <c r="R79" s="81"/>
      <c r="S79" s="82"/>
      <c r="T79" s="77">
        <f ca="1">IFERROR(__xludf.DUMMYFUNCTION("DATE(VALUE(LEFT($B$2,4)),VALUE(MID($B$2,6,2)),VALUE(RIGHT($B$2,2)))
+ (VALUE(REGEXEXTRACT(INDIRECT(""A""&amp;ROW()+1),""\d+""))-1)*7
+ INT((COLUMN()-COLUMN($B79))/3)
"),47173)</f>
        <v>47173</v>
      </c>
      <c r="U79" s="81"/>
      <c r="V79" s="82"/>
      <c r="W79" s="143"/>
    </row>
    <row r="80" spans="1:23" ht="15" customHeight="1">
      <c r="A80" s="51" t="s">
        <v>143</v>
      </c>
      <c r="B80" s="112"/>
      <c r="C80" s="111"/>
      <c r="D80" s="17">
        <f>V78+C80</f>
        <v>-1459</v>
      </c>
      <c r="E80" s="109"/>
      <c r="F80" s="109"/>
      <c r="G80" s="42">
        <f>D90+F80</f>
        <v>-1459</v>
      </c>
      <c r="H80" s="112"/>
      <c r="I80" s="111"/>
      <c r="J80" s="17">
        <f>G90+I80</f>
        <v>-1459</v>
      </c>
      <c r="K80" s="173"/>
      <c r="L80" s="109"/>
      <c r="M80" s="35">
        <f>J90+L80</f>
        <v>-1459</v>
      </c>
      <c r="N80" s="112"/>
      <c r="O80" s="111"/>
      <c r="P80" s="17">
        <f>M90+O80</f>
        <v>-1459</v>
      </c>
      <c r="Q80" s="109"/>
      <c r="R80" s="109"/>
      <c r="S80" s="35">
        <f>P90+R80</f>
        <v>-1459</v>
      </c>
      <c r="T80" s="112"/>
      <c r="U80" s="111"/>
      <c r="V80" s="48">
        <f>S90+U80</f>
        <v>-1459</v>
      </c>
      <c r="W80" s="143"/>
    </row>
    <row r="81" spans="1:26" ht="15" customHeight="1">
      <c r="A81" s="114"/>
      <c r="B81" s="106"/>
      <c r="C81" s="107"/>
      <c r="D81" s="26">
        <f t="shared" ref="D81:D90" si="49">D80+C81</f>
        <v>-1459</v>
      </c>
      <c r="E81" s="117"/>
      <c r="F81" s="117"/>
      <c r="G81" s="19">
        <f t="shared" ref="G81:G90" si="50">G80+F81</f>
        <v>-1459</v>
      </c>
      <c r="H81" s="106"/>
      <c r="I81" s="107"/>
      <c r="J81" s="26">
        <f t="shared" ref="J81:J90" si="51">J80+I81</f>
        <v>-1459</v>
      </c>
      <c r="K81" s="136"/>
      <c r="L81" s="136"/>
      <c r="M81" s="38">
        <f t="shared" ref="M81:M90" si="52">M80+L81</f>
        <v>-1459</v>
      </c>
      <c r="N81" s="106"/>
      <c r="O81" s="107"/>
      <c r="P81" s="26">
        <f t="shared" ref="P81:P90" si="53">P80+O81</f>
        <v>-1459</v>
      </c>
      <c r="Q81" s="117"/>
      <c r="R81" s="117"/>
      <c r="S81" s="38">
        <f t="shared" ref="S81:S90" si="54">S80+R81</f>
        <v>-1459</v>
      </c>
      <c r="T81" s="106"/>
      <c r="U81" s="107"/>
      <c r="V81" s="20">
        <f t="shared" ref="V81:V90" si="55">V80+U81</f>
        <v>-1459</v>
      </c>
      <c r="W81" s="143"/>
    </row>
    <row r="82" spans="1:26" ht="15" customHeight="1">
      <c r="A82" s="114"/>
      <c r="B82" s="106"/>
      <c r="C82" s="107"/>
      <c r="D82" s="26">
        <f t="shared" si="49"/>
        <v>-1459</v>
      </c>
      <c r="E82" s="117"/>
      <c r="F82" s="117"/>
      <c r="G82" s="19">
        <f t="shared" si="50"/>
        <v>-1459</v>
      </c>
      <c r="H82" s="106"/>
      <c r="I82" s="107"/>
      <c r="J82" s="26">
        <f t="shared" si="51"/>
        <v>-1459</v>
      </c>
      <c r="K82" s="136"/>
      <c r="L82" s="136"/>
      <c r="M82" s="38">
        <f t="shared" si="52"/>
        <v>-1459</v>
      </c>
      <c r="N82" s="106"/>
      <c r="O82" s="107"/>
      <c r="P82" s="26">
        <f t="shared" si="53"/>
        <v>-1459</v>
      </c>
      <c r="Q82" s="117"/>
      <c r="R82" s="117"/>
      <c r="S82" s="38">
        <f t="shared" si="54"/>
        <v>-1459</v>
      </c>
      <c r="T82" s="106"/>
      <c r="U82" s="107"/>
      <c r="V82" s="20">
        <f t="shared" si="55"/>
        <v>-1459</v>
      </c>
      <c r="W82" s="143"/>
    </row>
    <row r="83" spans="1:26" ht="15" customHeight="1">
      <c r="A83" s="114"/>
      <c r="B83" s="106"/>
      <c r="C83" s="107"/>
      <c r="D83" s="26">
        <f t="shared" si="49"/>
        <v>-1459</v>
      </c>
      <c r="E83" s="117"/>
      <c r="F83" s="117"/>
      <c r="G83" s="19">
        <f t="shared" si="50"/>
        <v>-1459</v>
      </c>
      <c r="H83" s="106"/>
      <c r="I83" s="107"/>
      <c r="J83" s="26">
        <f t="shared" si="51"/>
        <v>-1459</v>
      </c>
      <c r="K83" s="136"/>
      <c r="L83" s="136"/>
      <c r="M83" s="38">
        <f t="shared" si="52"/>
        <v>-1459</v>
      </c>
      <c r="N83" s="106"/>
      <c r="O83" s="107"/>
      <c r="P83" s="26">
        <f t="shared" si="53"/>
        <v>-1459</v>
      </c>
      <c r="Q83" s="117"/>
      <c r="R83" s="117"/>
      <c r="S83" s="38">
        <f t="shared" si="54"/>
        <v>-1459</v>
      </c>
      <c r="T83" s="106"/>
      <c r="U83" s="107"/>
      <c r="V83" s="20">
        <f t="shared" si="55"/>
        <v>-1459</v>
      </c>
      <c r="W83" s="143"/>
    </row>
    <row r="84" spans="1:26" ht="15" customHeight="1">
      <c r="A84" s="114"/>
      <c r="B84" s="106"/>
      <c r="C84" s="107"/>
      <c r="D84" s="26">
        <f t="shared" si="49"/>
        <v>-1459</v>
      </c>
      <c r="E84" s="117"/>
      <c r="F84" s="117"/>
      <c r="G84" s="19">
        <f t="shared" si="50"/>
        <v>-1459</v>
      </c>
      <c r="H84" s="106"/>
      <c r="I84" s="107"/>
      <c r="J84" s="26">
        <f t="shared" si="51"/>
        <v>-1459</v>
      </c>
      <c r="K84" s="136"/>
      <c r="L84" s="136"/>
      <c r="M84" s="38">
        <f t="shared" si="52"/>
        <v>-1459</v>
      </c>
      <c r="N84" s="106"/>
      <c r="O84" s="107"/>
      <c r="P84" s="26">
        <f t="shared" si="53"/>
        <v>-1459</v>
      </c>
      <c r="Q84" s="117"/>
      <c r="R84" s="117"/>
      <c r="S84" s="38">
        <f t="shared" si="54"/>
        <v>-1459</v>
      </c>
      <c r="T84" s="106"/>
      <c r="U84" s="107"/>
      <c r="V84" s="20">
        <f t="shared" si="55"/>
        <v>-1459</v>
      </c>
      <c r="W84" s="143"/>
    </row>
    <row r="85" spans="1:26" ht="15" customHeight="1">
      <c r="A85" s="114"/>
      <c r="B85" s="106"/>
      <c r="C85" s="107"/>
      <c r="D85" s="26">
        <f t="shared" si="49"/>
        <v>-1459</v>
      </c>
      <c r="E85" s="117"/>
      <c r="F85" s="117"/>
      <c r="G85" s="19">
        <f t="shared" si="50"/>
        <v>-1459</v>
      </c>
      <c r="H85" s="106"/>
      <c r="I85" s="107"/>
      <c r="J85" s="26">
        <f t="shared" si="51"/>
        <v>-1459</v>
      </c>
      <c r="K85" s="136"/>
      <c r="L85" s="136"/>
      <c r="M85" s="38">
        <f t="shared" si="52"/>
        <v>-1459</v>
      </c>
      <c r="N85" s="106"/>
      <c r="O85" s="107"/>
      <c r="P85" s="26">
        <f t="shared" si="53"/>
        <v>-1459</v>
      </c>
      <c r="Q85" s="117"/>
      <c r="R85" s="117"/>
      <c r="S85" s="38">
        <f t="shared" si="54"/>
        <v>-1459</v>
      </c>
      <c r="T85" s="106"/>
      <c r="U85" s="116"/>
      <c r="V85" s="20">
        <f t="shared" si="55"/>
        <v>-1459</v>
      </c>
      <c r="W85" s="143"/>
    </row>
    <row r="86" spans="1:26" ht="15" customHeight="1">
      <c r="A86" s="114"/>
      <c r="B86" s="106"/>
      <c r="C86" s="107"/>
      <c r="D86" s="26">
        <f t="shared" si="49"/>
        <v>-1459</v>
      </c>
      <c r="E86" s="117"/>
      <c r="F86" s="117"/>
      <c r="G86" s="19">
        <f t="shared" si="50"/>
        <v>-1459</v>
      </c>
      <c r="H86" s="106"/>
      <c r="I86" s="107"/>
      <c r="J86" s="26">
        <f t="shared" si="51"/>
        <v>-1459</v>
      </c>
      <c r="K86" s="136"/>
      <c r="L86" s="136"/>
      <c r="M86" s="38">
        <f t="shared" si="52"/>
        <v>-1459</v>
      </c>
      <c r="N86" s="106"/>
      <c r="O86" s="107"/>
      <c r="P86" s="26">
        <f t="shared" si="53"/>
        <v>-1459</v>
      </c>
      <c r="Q86" s="117"/>
      <c r="R86" s="117"/>
      <c r="S86" s="38">
        <f t="shared" si="54"/>
        <v>-1459</v>
      </c>
      <c r="T86" s="106"/>
      <c r="U86" s="116"/>
      <c r="V86" s="20">
        <f t="shared" si="55"/>
        <v>-1459</v>
      </c>
      <c r="W86" s="143"/>
    </row>
    <row r="87" spans="1:26" ht="15" customHeight="1">
      <c r="A87" s="114"/>
      <c r="B87" s="106"/>
      <c r="C87" s="107"/>
      <c r="D87" s="26">
        <f t="shared" si="49"/>
        <v>-1459</v>
      </c>
      <c r="E87" s="117"/>
      <c r="F87" s="117"/>
      <c r="G87" s="19">
        <f t="shared" si="50"/>
        <v>-1459</v>
      </c>
      <c r="H87" s="106"/>
      <c r="I87" s="107"/>
      <c r="J87" s="26">
        <f t="shared" si="51"/>
        <v>-1459</v>
      </c>
      <c r="K87" s="133"/>
      <c r="L87" s="117"/>
      <c r="M87" s="38">
        <f t="shared" si="52"/>
        <v>-1459</v>
      </c>
      <c r="N87" s="106"/>
      <c r="O87" s="107"/>
      <c r="P87" s="26">
        <f t="shared" si="53"/>
        <v>-1459</v>
      </c>
      <c r="Q87" s="117"/>
      <c r="R87" s="117"/>
      <c r="S87" s="38">
        <f t="shared" si="54"/>
        <v>-1459</v>
      </c>
      <c r="T87" s="106"/>
      <c r="U87" s="116"/>
      <c r="V87" s="20">
        <f t="shared" si="55"/>
        <v>-1459</v>
      </c>
      <c r="W87" s="143"/>
    </row>
    <row r="88" spans="1:26" ht="15" customHeight="1">
      <c r="A88" s="114"/>
      <c r="B88" s="106"/>
      <c r="C88" s="107"/>
      <c r="D88" s="26">
        <f t="shared" si="49"/>
        <v>-1459</v>
      </c>
      <c r="E88" s="117"/>
      <c r="F88" s="117"/>
      <c r="G88" s="19">
        <f t="shared" si="50"/>
        <v>-1459</v>
      </c>
      <c r="H88" s="122"/>
      <c r="I88" s="123"/>
      <c r="J88" s="26">
        <f t="shared" si="51"/>
        <v>-1459</v>
      </c>
      <c r="K88" s="117"/>
      <c r="L88" s="117"/>
      <c r="M88" s="38">
        <f t="shared" si="52"/>
        <v>-1459</v>
      </c>
      <c r="N88" s="122"/>
      <c r="O88" s="123"/>
      <c r="P88" s="26">
        <f t="shared" si="53"/>
        <v>-1459</v>
      </c>
      <c r="Q88" s="117"/>
      <c r="R88" s="117"/>
      <c r="S88" s="38">
        <f t="shared" si="54"/>
        <v>-1459</v>
      </c>
      <c r="T88" s="106"/>
      <c r="U88" s="116"/>
      <c r="V88" s="20">
        <f t="shared" si="55"/>
        <v>-1459</v>
      </c>
      <c r="W88" s="143"/>
    </row>
    <row r="89" spans="1:26" ht="15" customHeight="1">
      <c r="A89" s="114"/>
      <c r="B89" s="106"/>
      <c r="C89" s="107"/>
      <c r="D89" s="26">
        <f t="shared" si="49"/>
        <v>-1459</v>
      </c>
      <c r="E89" s="117"/>
      <c r="F89" s="117"/>
      <c r="G89" s="19">
        <f t="shared" si="50"/>
        <v>-1459</v>
      </c>
      <c r="H89" s="122"/>
      <c r="I89" s="123"/>
      <c r="J89" s="26">
        <f t="shared" si="51"/>
        <v>-1459</v>
      </c>
      <c r="K89" s="117"/>
      <c r="L89" s="117"/>
      <c r="M89" s="38">
        <f t="shared" si="52"/>
        <v>-1459</v>
      </c>
      <c r="N89" s="122"/>
      <c r="O89" s="123"/>
      <c r="P89" s="26">
        <f t="shared" si="53"/>
        <v>-1459</v>
      </c>
      <c r="Q89" s="117"/>
      <c r="R89" s="117"/>
      <c r="S89" s="38">
        <f t="shared" si="54"/>
        <v>-1459</v>
      </c>
      <c r="T89" s="122"/>
      <c r="U89" s="124"/>
      <c r="V89" s="20">
        <f t="shared" si="55"/>
        <v>-1459</v>
      </c>
      <c r="W89" s="143"/>
    </row>
    <row r="90" spans="1:26" ht="15" customHeight="1">
      <c r="A90" s="114"/>
      <c r="B90" s="122"/>
      <c r="C90" s="123"/>
      <c r="D90" s="39">
        <f t="shared" si="49"/>
        <v>-1459</v>
      </c>
      <c r="E90" s="128"/>
      <c r="F90" s="128"/>
      <c r="G90" s="29">
        <f t="shared" si="50"/>
        <v>-1459</v>
      </c>
      <c r="H90" s="122"/>
      <c r="I90" s="123"/>
      <c r="J90" s="39">
        <f t="shared" si="51"/>
        <v>-1459</v>
      </c>
      <c r="K90" s="128"/>
      <c r="L90" s="128"/>
      <c r="M90" s="40">
        <f t="shared" si="52"/>
        <v>-1459</v>
      </c>
      <c r="N90" s="122"/>
      <c r="O90" s="123"/>
      <c r="P90" s="39">
        <f t="shared" si="53"/>
        <v>-1459</v>
      </c>
      <c r="Q90" s="128"/>
      <c r="R90" s="128"/>
      <c r="S90" s="40">
        <f t="shared" si="54"/>
        <v>-1459</v>
      </c>
      <c r="T90" s="122"/>
      <c r="U90" s="123"/>
      <c r="V90" s="39">
        <f t="shared" si="55"/>
        <v>-1459</v>
      </c>
      <c r="W90" s="143"/>
    </row>
    <row r="91" spans="1:26" ht="15.75" customHeight="1">
      <c r="A91" s="87"/>
      <c r="B91" s="77">
        <f ca="1">IFERROR(__xludf.DUMMYFUNCTION("DATE(VALUE(LEFT($B$2,4)),VALUE(MID($B$2,6,2)),VALUE(RIGHT($B$2,2)))
+ (VALUE(REGEXEXTRACT(INDIRECT(""A""&amp;ROW()+1),""\d+""))-1)*7
+ INT((COLUMN()-COLUMN($B91))/3)
"),47174)</f>
        <v>47174</v>
      </c>
      <c r="C91" s="81"/>
      <c r="D91" s="82"/>
      <c r="E91" s="77">
        <f ca="1">IFERROR(__xludf.DUMMYFUNCTION("DATE(VALUE(LEFT($B$2,4)),VALUE(MID($B$2,6,2)),VALUE(RIGHT($B$2,2)))
+ (VALUE(REGEXEXTRACT(INDIRECT(""A""&amp;ROW()+1),""\d+""))-1)*7
+ INT((COLUMN()-COLUMN($B91))/3)
"),47175)</f>
        <v>47175</v>
      </c>
      <c r="F91" s="81"/>
      <c r="G91" s="82"/>
      <c r="H91" s="77">
        <f ca="1">IFERROR(__xludf.DUMMYFUNCTION("DATE(VALUE(LEFT($B$2,4)),VALUE(MID($B$2,6,2)),VALUE(RIGHT($B$2,2)))
+ (VALUE(REGEXEXTRACT(INDIRECT(""A""&amp;ROW()+1),""\d+""))-1)*7
+ INT((COLUMN()-COLUMN($B91))/3)
"),47176)</f>
        <v>47176</v>
      </c>
      <c r="I91" s="81"/>
      <c r="J91" s="82"/>
      <c r="K91" s="77">
        <f ca="1">IFERROR(__xludf.DUMMYFUNCTION("DATE(VALUE(LEFT($B$2,4)),VALUE(MID($B$2,6,2)),VALUE(RIGHT($B$2,2)))
+ (VALUE(REGEXEXTRACT(INDIRECT(""A""&amp;ROW()+1),""\d+""))-1)*7
+ INT((COLUMN()-COLUMN($B91))/3)
"),47177)</f>
        <v>47177</v>
      </c>
      <c r="L91" s="81"/>
      <c r="M91" s="82"/>
      <c r="N91" s="77">
        <f ca="1">IFERROR(__xludf.DUMMYFUNCTION("DATE(VALUE(LEFT($B$2,4)),VALUE(MID($B$2,6,2)),VALUE(RIGHT($B$2,2)))
+ (VALUE(REGEXEXTRACT(INDIRECT(""A""&amp;ROW()+1),""\d+""))-1)*7
+ INT((COLUMN()-COLUMN($B91))/3)
"),47178)</f>
        <v>47178</v>
      </c>
      <c r="O91" s="81"/>
      <c r="P91" s="82"/>
      <c r="Q91" s="77">
        <f ca="1">IFERROR(__xludf.DUMMYFUNCTION("DATE(VALUE(LEFT($B$2,4)),VALUE(MID($B$2,6,2)),VALUE(RIGHT($B$2,2)))
+ (VALUE(REGEXEXTRACT(INDIRECT(""A""&amp;ROW()+1),""\d+""))-1)*7
+ INT((COLUMN()-COLUMN($B91))/3)
"),47179)</f>
        <v>47179</v>
      </c>
      <c r="R91" s="81"/>
      <c r="S91" s="82"/>
      <c r="T91" s="77">
        <f ca="1">IFERROR(__xludf.DUMMYFUNCTION("DATE(VALUE(LEFT($B$2,4)),VALUE(MID($B$2,6,2)),VALUE(RIGHT($B$2,2)))
+ (VALUE(REGEXEXTRACT(INDIRECT(""A""&amp;ROW()+1),""\d+""))-1)*7
+ INT((COLUMN()-COLUMN($B91))/3)
"),47180)</f>
        <v>47180</v>
      </c>
      <c r="U91" s="81"/>
      <c r="V91" s="82"/>
      <c r="W91" s="52" t="s">
        <v>20</v>
      </c>
      <c r="X91" s="4"/>
      <c r="Y91" s="4"/>
      <c r="Z91" s="4"/>
    </row>
    <row r="92" spans="1:26" ht="15.75" customHeight="1">
      <c r="A92" s="47" t="s">
        <v>144</v>
      </c>
      <c r="B92" s="109"/>
      <c r="C92" s="109"/>
      <c r="D92" s="42">
        <f>V90+C92</f>
        <v>-1459</v>
      </c>
      <c r="E92" s="112"/>
      <c r="F92" s="111"/>
      <c r="G92" s="36">
        <f>D102+F92</f>
        <v>-1459</v>
      </c>
      <c r="H92" s="109"/>
      <c r="I92" s="109"/>
      <c r="J92" s="42">
        <f>G102+I92</f>
        <v>-1459</v>
      </c>
      <c r="K92" s="112"/>
      <c r="L92" s="111"/>
      <c r="M92" s="18">
        <f>J102+L92</f>
        <v>-1459</v>
      </c>
      <c r="N92" s="113"/>
      <c r="O92" s="109"/>
      <c r="P92" s="35">
        <f>M102+O92</f>
        <v>-1459</v>
      </c>
      <c r="Q92" s="110"/>
      <c r="R92" s="111"/>
      <c r="S92" s="18">
        <f>P102+R92</f>
        <v>-1459</v>
      </c>
      <c r="T92" s="113"/>
      <c r="U92" s="109"/>
      <c r="V92" s="50">
        <f>S102+U92</f>
        <v>-1459</v>
      </c>
      <c r="W92" s="172"/>
      <c r="X92" s="4"/>
      <c r="Y92" s="4"/>
      <c r="Z92" s="4"/>
    </row>
    <row r="93" spans="1:26" ht="15.75" customHeight="1">
      <c r="A93" s="114"/>
      <c r="B93" s="117"/>
      <c r="C93" s="117"/>
      <c r="D93" s="19">
        <f t="shared" ref="D93:D102" si="56">D92+C93</f>
        <v>-1459</v>
      </c>
      <c r="E93" s="106"/>
      <c r="F93" s="107"/>
      <c r="G93" s="26">
        <f t="shared" ref="G93:G102" si="57">G92+F93</f>
        <v>-1459</v>
      </c>
      <c r="H93" s="117"/>
      <c r="I93" s="117"/>
      <c r="J93" s="19">
        <f t="shared" ref="J93:J102" si="58">J92+I93</f>
        <v>-1459</v>
      </c>
      <c r="K93" s="106"/>
      <c r="L93" s="107"/>
      <c r="M93" s="26">
        <f t="shared" ref="M93:M102" si="59">M92+L93</f>
        <v>-1459</v>
      </c>
      <c r="N93" s="118"/>
      <c r="O93" s="117"/>
      <c r="P93" s="19">
        <f t="shared" ref="P93:P102" si="60">P92+O93</f>
        <v>-1459</v>
      </c>
      <c r="Q93" s="116"/>
      <c r="R93" s="107"/>
      <c r="S93" s="26">
        <f t="shared" ref="S93:S102" si="61">S92+R93</f>
        <v>-1459</v>
      </c>
      <c r="T93" s="136"/>
      <c r="U93" s="136"/>
      <c r="V93" s="45">
        <f t="shared" ref="V93:V102" si="62">V92+U93</f>
        <v>-1459</v>
      </c>
      <c r="W93" s="143"/>
      <c r="X93" s="4"/>
      <c r="Y93" s="4"/>
      <c r="Z93" s="4"/>
    </row>
    <row r="94" spans="1:26" ht="15.75" customHeight="1">
      <c r="A94" s="114"/>
      <c r="B94" s="117"/>
      <c r="C94" s="117"/>
      <c r="D94" s="19">
        <f t="shared" si="56"/>
        <v>-1459</v>
      </c>
      <c r="E94" s="106"/>
      <c r="F94" s="107"/>
      <c r="G94" s="26">
        <f t="shared" si="57"/>
        <v>-1459</v>
      </c>
      <c r="H94" s="117"/>
      <c r="I94" s="117"/>
      <c r="J94" s="19">
        <f t="shared" si="58"/>
        <v>-1459</v>
      </c>
      <c r="K94" s="106"/>
      <c r="L94" s="107"/>
      <c r="M94" s="26">
        <f t="shared" si="59"/>
        <v>-1459</v>
      </c>
      <c r="N94" s="117"/>
      <c r="O94" s="117"/>
      <c r="P94" s="19">
        <f t="shared" si="60"/>
        <v>-1459</v>
      </c>
      <c r="Q94" s="116"/>
      <c r="R94" s="107"/>
      <c r="S94" s="26">
        <f t="shared" si="61"/>
        <v>-1459</v>
      </c>
      <c r="T94" s="136"/>
      <c r="U94" s="136"/>
      <c r="V94" s="45">
        <f t="shared" si="62"/>
        <v>-1459</v>
      </c>
      <c r="W94" s="143"/>
      <c r="X94" s="4"/>
      <c r="Y94" s="4"/>
      <c r="Z94" s="4"/>
    </row>
    <row r="95" spans="1:26" ht="15.75" customHeight="1">
      <c r="A95" s="114"/>
      <c r="B95" s="117"/>
      <c r="C95" s="117"/>
      <c r="D95" s="19">
        <f t="shared" si="56"/>
        <v>-1459</v>
      </c>
      <c r="E95" s="106"/>
      <c r="F95" s="107"/>
      <c r="G95" s="26">
        <f t="shared" si="57"/>
        <v>-1459</v>
      </c>
      <c r="H95" s="117"/>
      <c r="I95" s="117"/>
      <c r="J95" s="19">
        <f t="shared" si="58"/>
        <v>-1459</v>
      </c>
      <c r="K95" s="106"/>
      <c r="L95" s="107"/>
      <c r="M95" s="26">
        <f t="shared" si="59"/>
        <v>-1459</v>
      </c>
      <c r="N95" s="117"/>
      <c r="O95" s="117"/>
      <c r="P95" s="19">
        <f t="shared" si="60"/>
        <v>-1459</v>
      </c>
      <c r="Q95" s="116"/>
      <c r="R95" s="107"/>
      <c r="S95" s="26">
        <f t="shared" si="61"/>
        <v>-1459</v>
      </c>
      <c r="T95" s="136"/>
      <c r="U95" s="136"/>
      <c r="V95" s="45">
        <f t="shared" si="62"/>
        <v>-1459</v>
      </c>
      <c r="W95" s="143"/>
      <c r="X95" s="4"/>
      <c r="Y95" s="4"/>
      <c r="Z95" s="4"/>
    </row>
    <row r="96" spans="1:26" ht="15.75" customHeight="1">
      <c r="A96" s="114"/>
      <c r="B96" s="117"/>
      <c r="C96" s="117"/>
      <c r="D96" s="19">
        <f t="shared" si="56"/>
        <v>-1459</v>
      </c>
      <c r="E96" s="106"/>
      <c r="F96" s="107"/>
      <c r="G96" s="26">
        <f t="shared" si="57"/>
        <v>-1459</v>
      </c>
      <c r="H96" s="117"/>
      <c r="I96" s="117"/>
      <c r="J96" s="19">
        <f t="shared" si="58"/>
        <v>-1459</v>
      </c>
      <c r="K96" s="106"/>
      <c r="L96" s="107"/>
      <c r="M96" s="26">
        <f t="shared" si="59"/>
        <v>-1459</v>
      </c>
      <c r="N96" s="117"/>
      <c r="O96" s="117"/>
      <c r="P96" s="19">
        <f t="shared" si="60"/>
        <v>-1459</v>
      </c>
      <c r="Q96" s="116"/>
      <c r="R96" s="107"/>
      <c r="S96" s="26">
        <f t="shared" si="61"/>
        <v>-1459</v>
      </c>
      <c r="T96" s="136"/>
      <c r="U96" s="136"/>
      <c r="V96" s="45">
        <f t="shared" si="62"/>
        <v>-1459</v>
      </c>
      <c r="W96" s="143"/>
      <c r="X96" s="4"/>
      <c r="Y96" s="4"/>
      <c r="Z96" s="4"/>
    </row>
    <row r="97" spans="1:26" ht="15.75" customHeight="1">
      <c r="A97" s="114"/>
      <c r="B97" s="118"/>
      <c r="C97" s="117"/>
      <c r="D97" s="19">
        <f t="shared" si="56"/>
        <v>-1459</v>
      </c>
      <c r="E97" s="106"/>
      <c r="F97" s="107"/>
      <c r="G97" s="26">
        <f t="shared" si="57"/>
        <v>-1459</v>
      </c>
      <c r="H97" s="133"/>
      <c r="I97" s="117"/>
      <c r="J97" s="19">
        <f t="shared" si="58"/>
        <v>-1459</v>
      </c>
      <c r="K97" s="106"/>
      <c r="L97" s="107"/>
      <c r="M97" s="26">
        <f t="shared" si="59"/>
        <v>-1459</v>
      </c>
      <c r="N97" s="117"/>
      <c r="O97" s="117"/>
      <c r="P97" s="19">
        <f t="shared" si="60"/>
        <v>-1459</v>
      </c>
      <c r="Q97" s="106"/>
      <c r="R97" s="107"/>
      <c r="S97" s="26">
        <f t="shared" si="61"/>
        <v>-1459</v>
      </c>
      <c r="T97" s="136"/>
      <c r="U97" s="136"/>
      <c r="V97" s="45">
        <f t="shared" si="62"/>
        <v>-1459</v>
      </c>
      <c r="W97" s="143"/>
      <c r="X97" s="4"/>
      <c r="Y97" s="4"/>
      <c r="Z97" s="4"/>
    </row>
    <row r="98" spans="1:26" ht="15.75" customHeight="1">
      <c r="A98" s="114"/>
      <c r="B98" s="117"/>
      <c r="C98" s="117"/>
      <c r="D98" s="19">
        <f t="shared" si="56"/>
        <v>-1459</v>
      </c>
      <c r="E98" s="106"/>
      <c r="F98" s="107"/>
      <c r="G98" s="26">
        <f t="shared" si="57"/>
        <v>-1459</v>
      </c>
      <c r="H98" s="133"/>
      <c r="I98" s="117"/>
      <c r="J98" s="19">
        <f t="shared" si="58"/>
        <v>-1459</v>
      </c>
      <c r="K98" s="106"/>
      <c r="L98" s="107"/>
      <c r="M98" s="26">
        <f t="shared" si="59"/>
        <v>-1459</v>
      </c>
      <c r="N98" s="117"/>
      <c r="O98" s="117"/>
      <c r="P98" s="38">
        <f t="shared" si="60"/>
        <v>-1459</v>
      </c>
      <c r="Q98" s="106"/>
      <c r="R98" s="107"/>
      <c r="S98" s="26">
        <f t="shared" si="61"/>
        <v>-1459</v>
      </c>
      <c r="T98" s="136"/>
      <c r="U98" s="136"/>
      <c r="V98" s="45">
        <f t="shared" si="62"/>
        <v>-1459</v>
      </c>
      <c r="W98" s="143"/>
      <c r="X98" s="4"/>
      <c r="Y98" s="4"/>
      <c r="Z98" s="4"/>
    </row>
    <row r="99" spans="1:26" ht="15.75" customHeight="1">
      <c r="A99" s="114"/>
      <c r="B99" s="117"/>
      <c r="C99" s="117"/>
      <c r="D99" s="19">
        <f t="shared" si="56"/>
        <v>-1459</v>
      </c>
      <c r="E99" s="106"/>
      <c r="F99" s="107"/>
      <c r="G99" s="26">
        <f t="shared" si="57"/>
        <v>-1459</v>
      </c>
      <c r="H99" s="133"/>
      <c r="I99" s="117"/>
      <c r="J99" s="19">
        <f t="shared" si="58"/>
        <v>-1459</v>
      </c>
      <c r="K99" s="106"/>
      <c r="L99" s="107"/>
      <c r="M99" s="26">
        <f t="shared" si="59"/>
        <v>-1459</v>
      </c>
      <c r="N99" s="117"/>
      <c r="O99" s="117"/>
      <c r="P99" s="38">
        <f t="shared" si="60"/>
        <v>-1459</v>
      </c>
      <c r="Q99" s="106"/>
      <c r="R99" s="107"/>
      <c r="S99" s="26">
        <f t="shared" si="61"/>
        <v>-1459</v>
      </c>
      <c r="T99" s="136"/>
      <c r="U99" s="136"/>
      <c r="V99" s="45">
        <f t="shared" si="62"/>
        <v>-1459</v>
      </c>
      <c r="W99" s="143"/>
      <c r="X99" s="4"/>
      <c r="Y99" s="4"/>
      <c r="Z99" s="4"/>
    </row>
    <row r="100" spans="1:26" ht="15.75" customHeight="1">
      <c r="A100" s="114"/>
      <c r="B100" s="117"/>
      <c r="C100" s="117"/>
      <c r="D100" s="19">
        <f t="shared" si="56"/>
        <v>-1459</v>
      </c>
      <c r="E100" s="106"/>
      <c r="F100" s="107"/>
      <c r="G100" s="26">
        <f t="shared" si="57"/>
        <v>-1459</v>
      </c>
      <c r="H100" s="133"/>
      <c r="I100" s="117"/>
      <c r="J100" s="19">
        <f t="shared" si="58"/>
        <v>-1459</v>
      </c>
      <c r="K100" s="106"/>
      <c r="L100" s="107"/>
      <c r="M100" s="26">
        <f t="shared" si="59"/>
        <v>-1459</v>
      </c>
      <c r="N100" s="117"/>
      <c r="O100" s="117"/>
      <c r="P100" s="38">
        <f t="shared" si="60"/>
        <v>-1459</v>
      </c>
      <c r="Q100" s="106"/>
      <c r="R100" s="107"/>
      <c r="S100" s="26">
        <f t="shared" si="61"/>
        <v>-1459</v>
      </c>
      <c r="T100" s="136"/>
      <c r="U100" s="136"/>
      <c r="V100" s="45">
        <f t="shared" si="62"/>
        <v>-1459</v>
      </c>
      <c r="W100" s="143"/>
      <c r="X100" s="4"/>
      <c r="Y100" s="4"/>
      <c r="Z100" s="4"/>
    </row>
    <row r="101" spans="1:26" ht="15.75" customHeight="1">
      <c r="A101" s="114"/>
      <c r="B101" s="117"/>
      <c r="C101" s="117"/>
      <c r="D101" s="19">
        <f t="shared" si="56"/>
        <v>-1459</v>
      </c>
      <c r="E101" s="122"/>
      <c r="F101" s="123"/>
      <c r="G101" s="26">
        <f t="shared" si="57"/>
        <v>-1459</v>
      </c>
      <c r="H101" s="133"/>
      <c r="I101" s="117"/>
      <c r="J101" s="19">
        <f t="shared" si="58"/>
        <v>-1459</v>
      </c>
      <c r="K101" s="122"/>
      <c r="L101" s="123"/>
      <c r="M101" s="26">
        <f t="shared" si="59"/>
        <v>-1459</v>
      </c>
      <c r="N101" s="117"/>
      <c r="O101" s="117"/>
      <c r="P101" s="38">
        <f t="shared" si="60"/>
        <v>-1459</v>
      </c>
      <c r="Q101" s="122"/>
      <c r="R101" s="123"/>
      <c r="S101" s="26">
        <f t="shared" si="61"/>
        <v>-1459</v>
      </c>
      <c r="T101" s="136"/>
      <c r="U101" s="136"/>
      <c r="V101" s="45">
        <f t="shared" si="62"/>
        <v>-1459</v>
      </c>
      <c r="W101" s="143"/>
      <c r="X101" s="4"/>
      <c r="Y101" s="4"/>
      <c r="Z101" s="4"/>
    </row>
    <row r="102" spans="1:26" ht="15.75" customHeight="1">
      <c r="A102" s="114"/>
      <c r="B102" s="128"/>
      <c r="C102" s="128"/>
      <c r="D102" s="29">
        <f t="shared" si="56"/>
        <v>-1459</v>
      </c>
      <c r="E102" s="122"/>
      <c r="F102" s="123"/>
      <c r="G102" s="53">
        <f t="shared" si="57"/>
        <v>-1459</v>
      </c>
      <c r="H102" s="140"/>
      <c r="I102" s="128"/>
      <c r="J102" s="29">
        <f t="shared" si="58"/>
        <v>-1459</v>
      </c>
      <c r="K102" s="122"/>
      <c r="L102" s="123"/>
      <c r="M102" s="39">
        <f t="shared" si="59"/>
        <v>-1459</v>
      </c>
      <c r="N102" s="128"/>
      <c r="O102" s="128"/>
      <c r="P102" s="40">
        <f t="shared" si="60"/>
        <v>-1459</v>
      </c>
      <c r="Q102" s="122"/>
      <c r="R102" s="123"/>
      <c r="S102" s="39">
        <f t="shared" si="61"/>
        <v>-1459</v>
      </c>
      <c r="T102" s="141"/>
      <c r="U102" s="141"/>
      <c r="V102" s="46">
        <f t="shared" si="62"/>
        <v>-1459</v>
      </c>
      <c r="W102" s="143"/>
      <c r="X102" s="4"/>
      <c r="Y102" s="4"/>
      <c r="Z102" s="4"/>
    </row>
    <row r="103" spans="1:26" ht="15.75" customHeight="1">
      <c r="A103" s="87"/>
      <c r="B103" s="77">
        <f ca="1">IFERROR(__xludf.DUMMYFUNCTION("DATE(VALUE(LEFT($B$2,4)),VALUE(MID($B$2,6,2)),VALUE(RIGHT($B$2,2)))
+ (VALUE(REGEXEXTRACT(INDIRECT(""A""&amp;ROW()+1),""\d+""))-1)*7
+ INT((COLUMN()-COLUMN($B103))/3)
"),47181)</f>
        <v>47181</v>
      </c>
      <c r="C103" s="81"/>
      <c r="D103" s="82"/>
      <c r="E103" s="77">
        <f ca="1">IFERROR(__xludf.DUMMYFUNCTION("DATE(VALUE(LEFT($B$2,4)),VALUE(MID($B$2,6,2)),VALUE(RIGHT($B$2,2)))
+ (VALUE(REGEXEXTRACT(INDIRECT(""A""&amp;ROW()+1),""\d+""))-1)*7
+ INT((COLUMN()-COLUMN($B103))/3)
"),47182)</f>
        <v>47182</v>
      </c>
      <c r="F103" s="81"/>
      <c r="G103" s="82"/>
      <c r="H103" s="77">
        <f ca="1">IFERROR(__xludf.DUMMYFUNCTION("DATE(VALUE(LEFT($B$2,4)),VALUE(MID($B$2,6,2)),VALUE(RIGHT($B$2,2)))
+ (VALUE(REGEXEXTRACT(INDIRECT(""A""&amp;ROW()+1),""\d+""))-1)*7
+ INT((COLUMN()-COLUMN($B103))/3)
"),47183)</f>
        <v>47183</v>
      </c>
      <c r="I103" s="81"/>
      <c r="J103" s="82"/>
      <c r="K103" s="77">
        <f ca="1">IFERROR(__xludf.DUMMYFUNCTION("DATE(VALUE(LEFT($B$2,4)),VALUE(MID($B$2,6,2)),VALUE(RIGHT($B$2,2)))
+ (VALUE(REGEXEXTRACT(INDIRECT(""A""&amp;ROW()+1),""\d+""))-1)*7
+ INT((COLUMN()-COLUMN($B103))/3)
"),47184)</f>
        <v>47184</v>
      </c>
      <c r="L103" s="81"/>
      <c r="M103" s="82"/>
      <c r="N103" s="77">
        <f ca="1">IFERROR(__xludf.DUMMYFUNCTION("DATE(VALUE(LEFT($B$2,4)),VALUE(MID($B$2,6,2)),VALUE(RIGHT($B$2,2)))
+ (VALUE(REGEXEXTRACT(INDIRECT(""A""&amp;ROW()+1),""\d+""))-1)*7
+ INT((COLUMN()-COLUMN($B103))/3)
"),47185)</f>
        <v>47185</v>
      </c>
      <c r="O103" s="81"/>
      <c r="P103" s="82"/>
      <c r="Q103" s="77">
        <f ca="1">IFERROR(__xludf.DUMMYFUNCTION("DATE(VALUE(LEFT($B$2,4)),VALUE(MID($B$2,6,2)),VALUE(RIGHT($B$2,2)))
+ (VALUE(REGEXEXTRACT(INDIRECT(""A""&amp;ROW()+1),""\d+""))-1)*7
+ INT((COLUMN()-COLUMN($B103))/3)
"),47186)</f>
        <v>47186</v>
      </c>
      <c r="R103" s="81"/>
      <c r="S103" s="82"/>
      <c r="T103" s="77">
        <f ca="1">IFERROR(__xludf.DUMMYFUNCTION("DATE(VALUE(LEFT($B$2,4)),VALUE(MID($B$2,6,2)),VALUE(RIGHT($B$2,2)))
+ (VALUE(REGEXEXTRACT(INDIRECT(""A""&amp;ROW()+1),""\d+""))-1)*7
+ INT((COLUMN()-COLUMN($B103))/3)
"),47187)</f>
        <v>47187</v>
      </c>
      <c r="U103" s="81"/>
      <c r="V103" s="82"/>
      <c r="W103" s="143"/>
      <c r="X103" s="4"/>
      <c r="Y103" s="4"/>
      <c r="Z103" s="4"/>
    </row>
    <row r="104" spans="1:26" ht="15.75" customHeight="1">
      <c r="A104" s="51" t="s">
        <v>145</v>
      </c>
      <c r="B104" s="112"/>
      <c r="C104" s="111"/>
      <c r="D104" s="17">
        <f>V102+C104</f>
        <v>-1459</v>
      </c>
      <c r="E104" s="109"/>
      <c r="F104" s="109"/>
      <c r="G104" s="54">
        <f>D114+F104</f>
        <v>-1459</v>
      </c>
      <c r="H104" s="112"/>
      <c r="I104" s="111"/>
      <c r="J104" s="17">
        <f>G114+I104</f>
        <v>-1459</v>
      </c>
      <c r="K104" s="109"/>
      <c r="L104" s="109"/>
      <c r="M104" s="35">
        <f>J114+L104</f>
        <v>-1459</v>
      </c>
      <c r="N104" s="112"/>
      <c r="O104" s="111"/>
      <c r="P104" s="17">
        <f>M114+O104</f>
        <v>-1459</v>
      </c>
      <c r="Q104" s="109"/>
      <c r="R104" s="109"/>
      <c r="S104" s="35">
        <f>P114+R104</f>
        <v>-1459</v>
      </c>
      <c r="T104" s="112"/>
      <c r="U104" s="111"/>
      <c r="V104" s="48">
        <f>S114+U104</f>
        <v>-1459</v>
      </c>
      <c r="W104" s="143"/>
      <c r="X104" s="4"/>
      <c r="Y104" s="4"/>
      <c r="Z104" s="4"/>
    </row>
    <row r="105" spans="1:26" ht="15.75" customHeight="1">
      <c r="A105" s="114"/>
      <c r="B105" s="122"/>
      <c r="C105" s="123"/>
      <c r="D105" s="26">
        <f t="shared" ref="D105:D114" si="63">D104+C105</f>
        <v>-1459</v>
      </c>
      <c r="E105" s="117"/>
      <c r="F105" s="117"/>
      <c r="G105" s="19">
        <f t="shared" ref="G105:G114" si="64">G104+F105</f>
        <v>-1459</v>
      </c>
      <c r="H105" s="106"/>
      <c r="I105" s="107"/>
      <c r="J105" s="26">
        <f t="shared" ref="J105:J114" si="65">J104+I105</f>
        <v>-1459</v>
      </c>
      <c r="K105" s="117"/>
      <c r="L105" s="117"/>
      <c r="M105" s="38">
        <f t="shared" ref="M105:M114" si="66">M104+L105</f>
        <v>-1459</v>
      </c>
      <c r="N105" s="106"/>
      <c r="O105" s="107"/>
      <c r="P105" s="26">
        <f t="shared" ref="P105:P114" si="67">P104+O105</f>
        <v>-1459</v>
      </c>
      <c r="Q105" s="117"/>
      <c r="R105" s="117"/>
      <c r="S105" s="38">
        <f t="shared" ref="S105:S114" si="68">S104+R105</f>
        <v>-1459</v>
      </c>
      <c r="T105" s="106"/>
      <c r="U105" s="107"/>
      <c r="V105" s="20">
        <f t="shared" ref="V105:V114" si="69">V104+U105</f>
        <v>-1459</v>
      </c>
      <c r="W105" s="143"/>
      <c r="X105" s="4"/>
      <c r="Y105" s="4"/>
      <c r="Z105" s="4"/>
    </row>
    <row r="106" spans="1:26" ht="15.75" customHeight="1">
      <c r="A106" s="114"/>
      <c r="B106" s="122"/>
      <c r="C106" s="123"/>
      <c r="D106" s="26">
        <f t="shared" si="63"/>
        <v>-1459</v>
      </c>
      <c r="E106" s="117"/>
      <c r="F106" s="117"/>
      <c r="G106" s="19">
        <f t="shared" si="64"/>
        <v>-1459</v>
      </c>
      <c r="H106" s="106"/>
      <c r="I106" s="107"/>
      <c r="J106" s="26">
        <f t="shared" si="65"/>
        <v>-1459</v>
      </c>
      <c r="K106" s="117"/>
      <c r="L106" s="117"/>
      <c r="M106" s="38">
        <f t="shared" si="66"/>
        <v>-1459</v>
      </c>
      <c r="N106" s="106"/>
      <c r="O106" s="107"/>
      <c r="P106" s="26">
        <f t="shared" si="67"/>
        <v>-1459</v>
      </c>
      <c r="Q106" s="117"/>
      <c r="R106" s="117"/>
      <c r="S106" s="38">
        <f t="shared" si="68"/>
        <v>-1459</v>
      </c>
      <c r="T106" s="106"/>
      <c r="U106" s="116"/>
      <c r="V106" s="20">
        <f t="shared" si="69"/>
        <v>-1459</v>
      </c>
      <c r="W106" s="143"/>
      <c r="X106" s="4"/>
      <c r="Y106" s="4"/>
      <c r="Z106" s="4"/>
    </row>
    <row r="107" spans="1:26" ht="15.75" customHeight="1">
      <c r="A107" s="114"/>
      <c r="B107" s="122"/>
      <c r="C107" s="123"/>
      <c r="D107" s="26">
        <f t="shared" si="63"/>
        <v>-1459</v>
      </c>
      <c r="E107" s="117"/>
      <c r="F107" s="117"/>
      <c r="G107" s="19">
        <f t="shared" si="64"/>
        <v>-1459</v>
      </c>
      <c r="H107" s="106"/>
      <c r="I107" s="107"/>
      <c r="J107" s="26">
        <f t="shared" si="65"/>
        <v>-1459</v>
      </c>
      <c r="K107" s="117"/>
      <c r="L107" s="117"/>
      <c r="M107" s="38">
        <f t="shared" si="66"/>
        <v>-1459</v>
      </c>
      <c r="N107" s="106"/>
      <c r="O107" s="107"/>
      <c r="P107" s="26">
        <f t="shared" si="67"/>
        <v>-1459</v>
      </c>
      <c r="Q107" s="117"/>
      <c r="R107" s="117"/>
      <c r="S107" s="38">
        <f t="shared" si="68"/>
        <v>-1459</v>
      </c>
      <c r="T107" s="106"/>
      <c r="U107" s="116"/>
      <c r="V107" s="20">
        <f t="shared" si="69"/>
        <v>-1459</v>
      </c>
      <c r="W107" s="143"/>
      <c r="X107" s="4"/>
      <c r="Y107" s="4"/>
      <c r="Z107" s="4"/>
    </row>
    <row r="108" spans="1:26" ht="15.75" customHeight="1">
      <c r="A108" s="114"/>
      <c r="B108" s="122"/>
      <c r="C108" s="123"/>
      <c r="D108" s="26">
        <f t="shared" si="63"/>
        <v>-1459</v>
      </c>
      <c r="E108" s="117"/>
      <c r="F108" s="117"/>
      <c r="G108" s="19">
        <f t="shared" si="64"/>
        <v>-1459</v>
      </c>
      <c r="H108" s="106"/>
      <c r="I108" s="107"/>
      <c r="J108" s="26">
        <f t="shared" si="65"/>
        <v>-1459</v>
      </c>
      <c r="K108" s="117"/>
      <c r="L108" s="117"/>
      <c r="M108" s="38">
        <f t="shared" si="66"/>
        <v>-1459</v>
      </c>
      <c r="N108" s="106"/>
      <c r="O108" s="107"/>
      <c r="P108" s="26">
        <f t="shared" si="67"/>
        <v>-1459</v>
      </c>
      <c r="Q108" s="117"/>
      <c r="R108" s="117"/>
      <c r="S108" s="38">
        <f t="shared" si="68"/>
        <v>-1459</v>
      </c>
      <c r="T108" s="106"/>
      <c r="U108" s="116"/>
      <c r="V108" s="20">
        <f t="shared" si="69"/>
        <v>-1459</v>
      </c>
      <c r="W108" s="143"/>
      <c r="X108" s="4"/>
      <c r="Y108" s="4"/>
      <c r="Z108" s="4"/>
    </row>
    <row r="109" spans="1:26" ht="15.75" customHeight="1">
      <c r="A109" s="114"/>
      <c r="B109" s="122"/>
      <c r="C109" s="123"/>
      <c r="D109" s="26">
        <f t="shared" si="63"/>
        <v>-1459</v>
      </c>
      <c r="E109" s="117"/>
      <c r="F109" s="117"/>
      <c r="G109" s="19">
        <f t="shared" si="64"/>
        <v>-1459</v>
      </c>
      <c r="H109" s="106"/>
      <c r="I109" s="107"/>
      <c r="J109" s="26">
        <f t="shared" si="65"/>
        <v>-1459</v>
      </c>
      <c r="K109" s="117"/>
      <c r="L109" s="117"/>
      <c r="M109" s="38">
        <f t="shared" si="66"/>
        <v>-1459</v>
      </c>
      <c r="N109" s="106"/>
      <c r="O109" s="107"/>
      <c r="P109" s="26">
        <f t="shared" si="67"/>
        <v>-1459</v>
      </c>
      <c r="Q109" s="117"/>
      <c r="R109" s="117"/>
      <c r="S109" s="38">
        <f t="shared" si="68"/>
        <v>-1459</v>
      </c>
      <c r="T109" s="106"/>
      <c r="U109" s="116"/>
      <c r="V109" s="20">
        <f t="shared" si="69"/>
        <v>-1459</v>
      </c>
      <c r="W109" s="143"/>
      <c r="X109" s="4"/>
      <c r="Y109" s="4"/>
      <c r="Z109" s="4"/>
    </row>
    <row r="110" spans="1:26" ht="15.75" customHeight="1">
      <c r="A110" s="114"/>
      <c r="B110" s="122"/>
      <c r="C110" s="123"/>
      <c r="D110" s="26">
        <f t="shared" si="63"/>
        <v>-1459</v>
      </c>
      <c r="E110" s="117"/>
      <c r="F110" s="117"/>
      <c r="G110" s="19">
        <f t="shared" si="64"/>
        <v>-1459</v>
      </c>
      <c r="H110" s="106"/>
      <c r="I110" s="107"/>
      <c r="J110" s="26">
        <f t="shared" si="65"/>
        <v>-1459</v>
      </c>
      <c r="K110" s="117"/>
      <c r="L110" s="117"/>
      <c r="M110" s="38">
        <f t="shared" si="66"/>
        <v>-1459</v>
      </c>
      <c r="N110" s="106"/>
      <c r="O110" s="107"/>
      <c r="P110" s="26">
        <f t="shared" si="67"/>
        <v>-1459</v>
      </c>
      <c r="Q110" s="117"/>
      <c r="R110" s="117"/>
      <c r="S110" s="38">
        <f t="shared" si="68"/>
        <v>-1459</v>
      </c>
      <c r="T110" s="106"/>
      <c r="U110" s="116"/>
      <c r="V110" s="20">
        <f t="shared" si="69"/>
        <v>-1459</v>
      </c>
      <c r="W110" s="143"/>
      <c r="X110" s="4"/>
      <c r="Y110" s="4"/>
      <c r="Z110" s="4"/>
    </row>
    <row r="111" spans="1:26" ht="15.75" customHeight="1">
      <c r="A111" s="114"/>
      <c r="B111" s="122"/>
      <c r="C111" s="123"/>
      <c r="D111" s="26">
        <f t="shared" si="63"/>
        <v>-1459</v>
      </c>
      <c r="E111" s="117"/>
      <c r="F111" s="117"/>
      <c r="G111" s="19">
        <f t="shared" si="64"/>
        <v>-1459</v>
      </c>
      <c r="H111" s="106"/>
      <c r="I111" s="107"/>
      <c r="J111" s="26">
        <f t="shared" si="65"/>
        <v>-1459</v>
      </c>
      <c r="K111" s="117"/>
      <c r="L111" s="117"/>
      <c r="M111" s="38">
        <f t="shared" si="66"/>
        <v>-1459</v>
      </c>
      <c r="N111" s="106"/>
      <c r="O111" s="107"/>
      <c r="P111" s="26">
        <f t="shared" si="67"/>
        <v>-1459</v>
      </c>
      <c r="Q111" s="117"/>
      <c r="R111" s="117"/>
      <c r="S111" s="38">
        <f t="shared" si="68"/>
        <v>-1459</v>
      </c>
      <c r="T111" s="106"/>
      <c r="U111" s="116"/>
      <c r="V111" s="20">
        <f t="shared" si="69"/>
        <v>-1459</v>
      </c>
      <c r="W111" s="143"/>
      <c r="X111" s="4"/>
      <c r="Y111" s="4"/>
      <c r="Z111" s="4"/>
    </row>
    <row r="112" spans="1:26" ht="15.75" customHeight="1">
      <c r="A112" s="114"/>
      <c r="B112" s="122"/>
      <c r="C112" s="123"/>
      <c r="D112" s="26">
        <f t="shared" si="63"/>
        <v>-1459</v>
      </c>
      <c r="E112" s="117"/>
      <c r="F112" s="117"/>
      <c r="G112" s="19">
        <f t="shared" si="64"/>
        <v>-1459</v>
      </c>
      <c r="H112" s="106"/>
      <c r="I112" s="107"/>
      <c r="J112" s="26">
        <f t="shared" si="65"/>
        <v>-1459</v>
      </c>
      <c r="K112" s="117"/>
      <c r="L112" s="117"/>
      <c r="M112" s="38">
        <f t="shared" si="66"/>
        <v>-1459</v>
      </c>
      <c r="N112" s="122"/>
      <c r="O112" s="123"/>
      <c r="P112" s="26">
        <f t="shared" si="67"/>
        <v>-1459</v>
      </c>
      <c r="Q112" s="117"/>
      <c r="R112" s="117"/>
      <c r="S112" s="38">
        <f t="shared" si="68"/>
        <v>-1459</v>
      </c>
      <c r="T112" s="106"/>
      <c r="U112" s="116"/>
      <c r="V112" s="20">
        <f t="shared" si="69"/>
        <v>-1459</v>
      </c>
      <c r="W112" s="143"/>
      <c r="X112" s="4"/>
      <c r="Y112" s="4"/>
      <c r="Z112" s="4"/>
    </row>
    <row r="113" spans="1:23" ht="15.75" customHeight="1">
      <c r="A113" s="114"/>
      <c r="B113" s="122"/>
      <c r="C113" s="123"/>
      <c r="D113" s="26">
        <f t="shared" si="63"/>
        <v>-1459</v>
      </c>
      <c r="E113" s="117"/>
      <c r="F113" s="117"/>
      <c r="G113" s="19">
        <f t="shared" si="64"/>
        <v>-1459</v>
      </c>
      <c r="H113" s="106"/>
      <c r="I113" s="107"/>
      <c r="J113" s="26">
        <f t="shared" si="65"/>
        <v>-1459</v>
      </c>
      <c r="K113" s="117"/>
      <c r="L113" s="117"/>
      <c r="M113" s="38">
        <f t="shared" si="66"/>
        <v>-1459</v>
      </c>
      <c r="N113" s="122"/>
      <c r="O113" s="123"/>
      <c r="P113" s="26">
        <f t="shared" si="67"/>
        <v>-1459</v>
      </c>
      <c r="Q113" s="117"/>
      <c r="R113" s="117"/>
      <c r="S113" s="38">
        <f t="shared" si="68"/>
        <v>-1459</v>
      </c>
      <c r="T113" s="122"/>
      <c r="U113" s="124"/>
      <c r="V113" s="20">
        <f t="shared" si="69"/>
        <v>-1459</v>
      </c>
      <c r="W113" s="143"/>
    </row>
    <row r="114" spans="1:23" ht="15.75" customHeight="1">
      <c r="A114" s="114"/>
      <c r="B114" s="122"/>
      <c r="C114" s="123"/>
      <c r="D114" s="39">
        <f t="shared" si="63"/>
        <v>-1459</v>
      </c>
      <c r="E114" s="128"/>
      <c r="F114" s="128"/>
      <c r="G114" s="29">
        <f t="shared" si="64"/>
        <v>-1459</v>
      </c>
      <c r="H114" s="124"/>
      <c r="I114" s="123"/>
      <c r="J114" s="39">
        <f t="shared" si="65"/>
        <v>-1459</v>
      </c>
      <c r="K114" s="128"/>
      <c r="L114" s="128"/>
      <c r="M114" s="40">
        <f t="shared" si="66"/>
        <v>-1459</v>
      </c>
      <c r="N114" s="122"/>
      <c r="O114" s="123"/>
      <c r="P114" s="39">
        <f t="shared" si="67"/>
        <v>-1459</v>
      </c>
      <c r="Q114" s="128"/>
      <c r="R114" s="128"/>
      <c r="S114" s="40">
        <f t="shared" si="68"/>
        <v>-1459</v>
      </c>
      <c r="T114" s="122"/>
      <c r="U114" s="123"/>
      <c r="V114" s="49">
        <f t="shared" si="69"/>
        <v>-1459</v>
      </c>
      <c r="W114" s="143"/>
    </row>
    <row r="115" spans="1:23" ht="15.75" customHeight="1">
      <c r="A115" s="87"/>
      <c r="B115" s="77">
        <f ca="1">IFERROR(__xludf.DUMMYFUNCTION("DATE(VALUE(LEFT($B$2,4)),VALUE(MID($B$2,6,2)),VALUE(RIGHT($B$2,2)))
+ (VALUE(REGEXEXTRACT(INDIRECT(""A""&amp;ROW()+1),""\d+""))-1)*7
+ INT((COLUMN()-COLUMN($B115))/3)
"),47188)</f>
        <v>47188</v>
      </c>
      <c r="C115" s="81"/>
      <c r="D115" s="82"/>
      <c r="E115" s="77">
        <f ca="1">IFERROR(__xludf.DUMMYFUNCTION("DATE(VALUE(LEFT($B$2,4)),VALUE(MID($B$2,6,2)),VALUE(RIGHT($B$2,2)))
+ (VALUE(REGEXEXTRACT(INDIRECT(""A""&amp;ROW()+1),""\d+""))-1)*7
+ INT((COLUMN()-COLUMN($B115))/3)
"),47189)</f>
        <v>47189</v>
      </c>
      <c r="F115" s="81"/>
      <c r="G115" s="82"/>
      <c r="H115" s="77">
        <f ca="1">IFERROR(__xludf.DUMMYFUNCTION("DATE(VALUE(LEFT($B$2,4)),VALUE(MID($B$2,6,2)),VALUE(RIGHT($B$2,2)))
+ (VALUE(REGEXEXTRACT(INDIRECT(""A""&amp;ROW()+1),""\d+""))-1)*7
+ INT((COLUMN()-COLUMN($B115))/3)
"),47190)</f>
        <v>47190</v>
      </c>
      <c r="I115" s="81"/>
      <c r="J115" s="82"/>
      <c r="K115" s="77">
        <f ca="1">IFERROR(__xludf.DUMMYFUNCTION("DATE(VALUE(LEFT($B$2,4)),VALUE(MID($B$2,6,2)),VALUE(RIGHT($B$2,2)))
+ (VALUE(REGEXEXTRACT(INDIRECT(""A""&amp;ROW()+1),""\d+""))-1)*7
+ INT((COLUMN()-COLUMN($B115))/3)
"),47191)</f>
        <v>47191</v>
      </c>
      <c r="L115" s="81"/>
      <c r="M115" s="82"/>
      <c r="N115" s="77">
        <f ca="1">IFERROR(__xludf.DUMMYFUNCTION("DATE(VALUE(LEFT($B$2,4)),VALUE(MID($B$2,6,2)),VALUE(RIGHT($B$2,2)))
+ (VALUE(REGEXEXTRACT(INDIRECT(""A""&amp;ROW()+1),""\d+""))-1)*7
+ INT((COLUMN()-COLUMN($B115))/3)
"),47192)</f>
        <v>47192</v>
      </c>
      <c r="O115" s="81"/>
      <c r="P115" s="82"/>
      <c r="Q115" s="77">
        <f ca="1">IFERROR(__xludf.DUMMYFUNCTION("DATE(VALUE(LEFT($B$2,4)),VALUE(MID($B$2,6,2)),VALUE(RIGHT($B$2,2)))
+ (VALUE(REGEXEXTRACT(INDIRECT(""A""&amp;ROW()+1),""\d+""))-1)*7
+ INT((COLUMN()-COLUMN($B115))/3)
"),47193)</f>
        <v>47193</v>
      </c>
      <c r="R115" s="81"/>
      <c r="S115" s="82"/>
      <c r="T115" s="77">
        <f ca="1">IFERROR(__xludf.DUMMYFUNCTION("DATE(VALUE(LEFT($B$2,4)),VALUE(MID($B$2,6,2)),VALUE(RIGHT($B$2,2)))
+ (VALUE(REGEXEXTRACT(INDIRECT(""A""&amp;ROW()+1),""\d+""))-1)*7
+ INT((COLUMN()-COLUMN($B115))/3)
"),47194)</f>
        <v>47194</v>
      </c>
      <c r="U115" s="81"/>
      <c r="V115" s="82"/>
      <c r="W115" s="52" t="s">
        <v>20</v>
      </c>
    </row>
    <row r="116" spans="1:23" ht="15.75" customHeight="1">
      <c r="A116" s="47" t="s">
        <v>146</v>
      </c>
      <c r="B116" s="109"/>
      <c r="C116" s="109"/>
      <c r="D116" s="42">
        <f>V114+C116</f>
        <v>-1459</v>
      </c>
      <c r="E116" s="112"/>
      <c r="F116" s="111"/>
      <c r="G116" s="36">
        <f>D126+F116</f>
        <v>-1459</v>
      </c>
      <c r="H116" s="132"/>
      <c r="I116" s="109"/>
      <c r="J116" s="42">
        <f>G126+I116</f>
        <v>-1459</v>
      </c>
      <c r="K116" s="112"/>
      <c r="L116" s="111"/>
      <c r="M116" s="18">
        <f>J126+L116</f>
        <v>-1459</v>
      </c>
      <c r="N116" s="113"/>
      <c r="O116" s="109"/>
      <c r="P116" s="35">
        <f>M126+O116</f>
        <v>-1459</v>
      </c>
      <c r="Q116" s="112"/>
      <c r="R116" s="111"/>
      <c r="S116" s="18">
        <f>P126+R116</f>
        <v>-1459</v>
      </c>
      <c r="T116" s="113"/>
      <c r="U116" s="109"/>
      <c r="V116" s="50">
        <f>S126+U116</f>
        <v>-1459</v>
      </c>
      <c r="W116" s="172"/>
    </row>
    <row r="117" spans="1:23" ht="15.75" customHeight="1">
      <c r="A117" s="114"/>
      <c r="B117" s="117"/>
      <c r="C117" s="117"/>
      <c r="D117" s="19">
        <f t="shared" ref="D117:D126" si="70">D116+C117</f>
        <v>-1459</v>
      </c>
      <c r="E117" s="106"/>
      <c r="F117" s="107"/>
      <c r="G117" s="26">
        <f t="shared" ref="G117:G126" si="71">G116+F117</f>
        <v>-1459</v>
      </c>
      <c r="H117" s="133"/>
      <c r="I117" s="117"/>
      <c r="J117" s="19">
        <f t="shared" ref="J117:J126" si="72">J116+I117</f>
        <v>-1459</v>
      </c>
      <c r="K117" s="106"/>
      <c r="L117" s="107"/>
      <c r="M117" s="26">
        <f t="shared" ref="M117:M126" si="73">M116+L117</f>
        <v>-1459</v>
      </c>
      <c r="N117" s="118"/>
      <c r="O117" s="117"/>
      <c r="P117" s="38">
        <f t="shared" ref="P117:P126" si="74">P116+O117</f>
        <v>-1459</v>
      </c>
      <c r="Q117" s="106"/>
      <c r="R117" s="107"/>
      <c r="S117" s="26">
        <f t="shared" ref="S117:S126" si="75">S116+R117</f>
        <v>-1459</v>
      </c>
      <c r="T117" s="136"/>
      <c r="U117" s="136"/>
      <c r="V117" s="45">
        <f t="shared" ref="V117:V126" si="76">V116+U117</f>
        <v>-1459</v>
      </c>
      <c r="W117" s="143"/>
    </row>
    <row r="118" spans="1:23" ht="15.75" customHeight="1">
      <c r="A118" s="114"/>
      <c r="B118" s="117"/>
      <c r="C118" s="117"/>
      <c r="D118" s="19">
        <f t="shared" si="70"/>
        <v>-1459</v>
      </c>
      <c r="E118" s="106"/>
      <c r="F118" s="107"/>
      <c r="G118" s="26">
        <f t="shared" si="71"/>
        <v>-1459</v>
      </c>
      <c r="H118" s="133"/>
      <c r="I118" s="117"/>
      <c r="J118" s="19">
        <f t="shared" si="72"/>
        <v>-1459</v>
      </c>
      <c r="K118" s="106"/>
      <c r="L118" s="107"/>
      <c r="M118" s="26">
        <f t="shared" si="73"/>
        <v>-1459</v>
      </c>
      <c r="N118" s="117"/>
      <c r="O118" s="117"/>
      <c r="P118" s="38">
        <f t="shared" si="74"/>
        <v>-1459</v>
      </c>
      <c r="Q118" s="106"/>
      <c r="R118" s="107"/>
      <c r="S118" s="26">
        <f t="shared" si="75"/>
        <v>-1459</v>
      </c>
      <c r="T118" s="136"/>
      <c r="U118" s="136"/>
      <c r="V118" s="45">
        <f t="shared" si="76"/>
        <v>-1459</v>
      </c>
      <c r="W118" s="143"/>
    </row>
    <row r="119" spans="1:23" ht="15.75" customHeight="1">
      <c r="A119" s="114"/>
      <c r="B119" s="117"/>
      <c r="C119" s="117"/>
      <c r="D119" s="19">
        <f t="shared" si="70"/>
        <v>-1459</v>
      </c>
      <c r="E119" s="106"/>
      <c r="F119" s="107"/>
      <c r="G119" s="26">
        <f t="shared" si="71"/>
        <v>-1459</v>
      </c>
      <c r="H119" s="133"/>
      <c r="I119" s="117"/>
      <c r="J119" s="19">
        <f t="shared" si="72"/>
        <v>-1459</v>
      </c>
      <c r="K119" s="106"/>
      <c r="L119" s="107"/>
      <c r="M119" s="26">
        <f t="shared" si="73"/>
        <v>-1459</v>
      </c>
      <c r="N119" s="117"/>
      <c r="O119" s="117"/>
      <c r="P119" s="38">
        <f t="shared" si="74"/>
        <v>-1459</v>
      </c>
      <c r="Q119" s="106"/>
      <c r="R119" s="107"/>
      <c r="S119" s="26">
        <f t="shared" si="75"/>
        <v>-1459</v>
      </c>
      <c r="T119" s="117"/>
      <c r="U119" s="117"/>
      <c r="V119" s="45">
        <f t="shared" si="76"/>
        <v>-1459</v>
      </c>
      <c r="W119" s="143"/>
    </row>
    <row r="120" spans="1:23" ht="15.75" customHeight="1">
      <c r="A120" s="114"/>
      <c r="B120" s="117"/>
      <c r="C120" s="117"/>
      <c r="D120" s="19">
        <f t="shared" si="70"/>
        <v>-1459</v>
      </c>
      <c r="E120" s="106"/>
      <c r="F120" s="107"/>
      <c r="G120" s="26">
        <f t="shared" si="71"/>
        <v>-1459</v>
      </c>
      <c r="H120" s="133"/>
      <c r="I120" s="117"/>
      <c r="J120" s="19">
        <f t="shared" si="72"/>
        <v>-1459</v>
      </c>
      <c r="K120" s="106"/>
      <c r="L120" s="107"/>
      <c r="M120" s="26">
        <f t="shared" si="73"/>
        <v>-1459</v>
      </c>
      <c r="N120" s="117"/>
      <c r="O120" s="117"/>
      <c r="P120" s="38">
        <f t="shared" si="74"/>
        <v>-1459</v>
      </c>
      <c r="Q120" s="106"/>
      <c r="R120" s="107"/>
      <c r="S120" s="26">
        <f t="shared" si="75"/>
        <v>-1459</v>
      </c>
      <c r="T120" s="117"/>
      <c r="U120" s="117"/>
      <c r="V120" s="45">
        <f t="shared" si="76"/>
        <v>-1459</v>
      </c>
      <c r="W120" s="143"/>
    </row>
    <row r="121" spans="1:23" ht="15.75" customHeight="1">
      <c r="A121" s="114"/>
      <c r="B121" s="118"/>
      <c r="C121" s="117"/>
      <c r="D121" s="19">
        <f t="shared" si="70"/>
        <v>-1459</v>
      </c>
      <c r="E121" s="106"/>
      <c r="F121" s="107"/>
      <c r="G121" s="26">
        <f t="shared" si="71"/>
        <v>-1459</v>
      </c>
      <c r="H121" s="133"/>
      <c r="I121" s="117"/>
      <c r="J121" s="19">
        <f t="shared" si="72"/>
        <v>-1459</v>
      </c>
      <c r="K121" s="106"/>
      <c r="L121" s="107"/>
      <c r="M121" s="26">
        <f t="shared" si="73"/>
        <v>-1459</v>
      </c>
      <c r="N121" s="117"/>
      <c r="O121" s="117"/>
      <c r="P121" s="38">
        <f t="shared" si="74"/>
        <v>-1459</v>
      </c>
      <c r="Q121" s="106"/>
      <c r="R121" s="107"/>
      <c r="S121" s="26">
        <f t="shared" si="75"/>
        <v>-1459</v>
      </c>
      <c r="T121" s="117"/>
      <c r="U121" s="117"/>
      <c r="V121" s="45">
        <f t="shared" si="76"/>
        <v>-1459</v>
      </c>
      <c r="W121" s="143"/>
    </row>
    <row r="122" spans="1:23" ht="15.75" customHeight="1">
      <c r="A122" s="114"/>
      <c r="B122" s="117"/>
      <c r="C122" s="117"/>
      <c r="D122" s="19">
        <f t="shared" si="70"/>
        <v>-1459</v>
      </c>
      <c r="E122" s="106"/>
      <c r="F122" s="107"/>
      <c r="G122" s="26">
        <f t="shared" si="71"/>
        <v>-1459</v>
      </c>
      <c r="H122" s="133"/>
      <c r="I122" s="117"/>
      <c r="J122" s="19">
        <f t="shared" si="72"/>
        <v>-1459</v>
      </c>
      <c r="K122" s="106"/>
      <c r="L122" s="107"/>
      <c r="M122" s="26">
        <f t="shared" si="73"/>
        <v>-1459</v>
      </c>
      <c r="N122" s="117"/>
      <c r="O122" s="117"/>
      <c r="P122" s="38">
        <f t="shared" si="74"/>
        <v>-1459</v>
      </c>
      <c r="Q122" s="106"/>
      <c r="R122" s="107"/>
      <c r="S122" s="26">
        <f t="shared" si="75"/>
        <v>-1459</v>
      </c>
      <c r="T122" s="117"/>
      <c r="U122" s="117"/>
      <c r="V122" s="45">
        <f t="shared" si="76"/>
        <v>-1459</v>
      </c>
      <c r="W122" s="143"/>
    </row>
    <row r="123" spans="1:23" ht="15.75" customHeight="1">
      <c r="A123" s="114"/>
      <c r="B123" s="117"/>
      <c r="C123" s="117"/>
      <c r="D123" s="19">
        <f t="shared" si="70"/>
        <v>-1459</v>
      </c>
      <c r="E123" s="106"/>
      <c r="F123" s="107"/>
      <c r="G123" s="26">
        <f t="shared" si="71"/>
        <v>-1459</v>
      </c>
      <c r="H123" s="133"/>
      <c r="I123" s="117"/>
      <c r="J123" s="19">
        <f t="shared" si="72"/>
        <v>-1459</v>
      </c>
      <c r="K123" s="106"/>
      <c r="L123" s="107"/>
      <c r="M123" s="26">
        <f t="shared" si="73"/>
        <v>-1459</v>
      </c>
      <c r="N123" s="117"/>
      <c r="O123" s="117"/>
      <c r="P123" s="38">
        <f t="shared" si="74"/>
        <v>-1459</v>
      </c>
      <c r="Q123" s="106"/>
      <c r="R123" s="107"/>
      <c r="S123" s="26">
        <f t="shared" si="75"/>
        <v>-1459</v>
      </c>
      <c r="T123" s="117"/>
      <c r="U123" s="117"/>
      <c r="V123" s="45">
        <f t="shared" si="76"/>
        <v>-1459</v>
      </c>
      <c r="W123" s="143"/>
    </row>
    <row r="124" spans="1:23" ht="15.75" customHeight="1">
      <c r="A124" s="114"/>
      <c r="B124" s="117"/>
      <c r="C124" s="117"/>
      <c r="D124" s="19">
        <f t="shared" si="70"/>
        <v>-1459</v>
      </c>
      <c r="E124" s="106"/>
      <c r="F124" s="107"/>
      <c r="G124" s="26">
        <f t="shared" si="71"/>
        <v>-1459</v>
      </c>
      <c r="H124" s="133"/>
      <c r="I124" s="117"/>
      <c r="J124" s="19">
        <f t="shared" si="72"/>
        <v>-1459</v>
      </c>
      <c r="K124" s="106"/>
      <c r="L124" s="107"/>
      <c r="M124" s="26">
        <f t="shared" si="73"/>
        <v>-1459</v>
      </c>
      <c r="N124" s="117"/>
      <c r="O124" s="117"/>
      <c r="P124" s="38">
        <f t="shared" si="74"/>
        <v>-1459</v>
      </c>
      <c r="Q124" s="106"/>
      <c r="R124" s="107"/>
      <c r="S124" s="26">
        <f t="shared" si="75"/>
        <v>-1459</v>
      </c>
      <c r="T124" s="136"/>
      <c r="U124" s="136"/>
      <c r="V124" s="45">
        <f t="shared" si="76"/>
        <v>-1459</v>
      </c>
      <c r="W124" s="143"/>
    </row>
    <row r="125" spans="1:23" ht="15.75" customHeight="1">
      <c r="A125" s="114"/>
      <c r="B125" s="117"/>
      <c r="C125" s="117"/>
      <c r="D125" s="19">
        <f t="shared" si="70"/>
        <v>-1459</v>
      </c>
      <c r="E125" s="122"/>
      <c r="F125" s="123"/>
      <c r="G125" s="26">
        <f t="shared" si="71"/>
        <v>-1459</v>
      </c>
      <c r="H125" s="133"/>
      <c r="I125" s="117"/>
      <c r="J125" s="19">
        <f t="shared" si="72"/>
        <v>-1459</v>
      </c>
      <c r="K125" s="122"/>
      <c r="L125" s="123"/>
      <c r="M125" s="26">
        <f t="shared" si="73"/>
        <v>-1459</v>
      </c>
      <c r="N125" s="117"/>
      <c r="O125" s="117"/>
      <c r="P125" s="38">
        <f t="shared" si="74"/>
        <v>-1459</v>
      </c>
      <c r="Q125" s="122"/>
      <c r="R125" s="123"/>
      <c r="S125" s="26">
        <f t="shared" si="75"/>
        <v>-1459</v>
      </c>
      <c r="T125" s="136"/>
      <c r="U125" s="136"/>
      <c r="V125" s="45">
        <f t="shared" si="76"/>
        <v>-1459</v>
      </c>
      <c r="W125" s="143"/>
    </row>
    <row r="126" spans="1:23" ht="15.75" customHeight="1">
      <c r="A126" s="114"/>
      <c r="B126" s="128"/>
      <c r="C126" s="128"/>
      <c r="D126" s="29">
        <f t="shared" si="70"/>
        <v>-1459</v>
      </c>
      <c r="E126" s="122"/>
      <c r="F126" s="123"/>
      <c r="G126" s="39">
        <f t="shared" si="71"/>
        <v>-1459</v>
      </c>
      <c r="H126" s="140"/>
      <c r="I126" s="128"/>
      <c r="J126" s="29">
        <f t="shared" si="72"/>
        <v>-1459</v>
      </c>
      <c r="K126" s="122"/>
      <c r="L126" s="123"/>
      <c r="M126" s="39">
        <f t="shared" si="73"/>
        <v>-1459</v>
      </c>
      <c r="N126" s="128"/>
      <c r="O126" s="128"/>
      <c r="P126" s="40">
        <f t="shared" si="74"/>
        <v>-1459</v>
      </c>
      <c r="Q126" s="122"/>
      <c r="R126" s="123"/>
      <c r="S126" s="39">
        <f t="shared" si="75"/>
        <v>-1459</v>
      </c>
      <c r="T126" s="141"/>
      <c r="U126" s="141"/>
      <c r="V126" s="46">
        <f t="shared" si="76"/>
        <v>-1459</v>
      </c>
      <c r="W126" s="143"/>
    </row>
    <row r="127" spans="1:23" ht="15.75" customHeight="1">
      <c r="A127" s="87"/>
      <c r="B127" s="77">
        <f ca="1">IFERROR(__xludf.DUMMYFUNCTION("DATE(VALUE(LEFT($B$2,4)),VALUE(MID($B$2,6,2)),VALUE(RIGHT($B$2,2)))
+ (VALUE(REGEXEXTRACT(INDIRECT(""A""&amp;ROW()+1),""\d+""))-1)*7
+ INT((COLUMN()-COLUMN($B127))/3)
"),47195)</f>
        <v>47195</v>
      </c>
      <c r="C127" s="81"/>
      <c r="D127" s="82"/>
      <c r="E127" s="77">
        <f ca="1">IFERROR(__xludf.DUMMYFUNCTION("DATE(VALUE(LEFT($B$2,4)),VALUE(MID($B$2,6,2)),VALUE(RIGHT($B$2,2)))
+ (VALUE(REGEXEXTRACT(INDIRECT(""A""&amp;ROW()+1),""\d+""))-1)*7
+ INT((COLUMN()-COLUMN($B127))/3)
"),47196)</f>
        <v>47196</v>
      </c>
      <c r="F127" s="81"/>
      <c r="G127" s="82"/>
      <c r="H127" s="77">
        <f ca="1">IFERROR(__xludf.DUMMYFUNCTION("DATE(VALUE(LEFT($B$2,4)),VALUE(MID($B$2,6,2)),VALUE(RIGHT($B$2,2)))
+ (VALUE(REGEXEXTRACT(INDIRECT(""A""&amp;ROW()+1),""\d+""))-1)*7
+ INT((COLUMN()-COLUMN($B127))/3)
"),47197)</f>
        <v>47197</v>
      </c>
      <c r="I127" s="81"/>
      <c r="J127" s="82"/>
      <c r="K127" s="77">
        <f ca="1">IFERROR(__xludf.DUMMYFUNCTION("DATE(VALUE(LEFT($B$2,4)),VALUE(MID($B$2,6,2)),VALUE(RIGHT($B$2,2)))
+ (VALUE(REGEXEXTRACT(INDIRECT(""A""&amp;ROW()+1),""\d+""))-1)*7
+ INT((COLUMN()-COLUMN($B127))/3)
"),47198)</f>
        <v>47198</v>
      </c>
      <c r="L127" s="81"/>
      <c r="M127" s="82"/>
      <c r="N127" s="77">
        <f ca="1">IFERROR(__xludf.DUMMYFUNCTION("DATE(VALUE(LEFT($B$2,4)),VALUE(MID($B$2,6,2)),VALUE(RIGHT($B$2,2)))
+ (VALUE(REGEXEXTRACT(INDIRECT(""A""&amp;ROW()+1),""\d+""))-1)*7
+ INT((COLUMN()-COLUMN($B127))/3)
"),47199)</f>
        <v>47199</v>
      </c>
      <c r="O127" s="81"/>
      <c r="P127" s="82"/>
      <c r="Q127" s="77">
        <f ca="1">IFERROR(__xludf.DUMMYFUNCTION("DATE(VALUE(LEFT($B$2,4)),VALUE(MID($B$2,6,2)),VALUE(RIGHT($B$2,2)))
+ (VALUE(REGEXEXTRACT(INDIRECT(""A""&amp;ROW()+1),""\d+""))-1)*7
+ INT((COLUMN()-COLUMN($B127))/3)
"),47200)</f>
        <v>47200</v>
      </c>
      <c r="R127" s="81"/>
      <c r="S127" s="82"/>
      <c r="T127" s="77">
        <f ca="1">IFERROR(__xludf.DUMMYFUNCTION("DATE(VALUE(LEFT($B$2,4)),VALUE(MID($B$2,6,2)),VALUE(RIGHT($B$2,2)))
+ (VALUE(REGEXEXTRACT(INDIRECT(""A""&amp;ROW()+1),""\d+""))-1)*7
+ INT((COLUMN()-COLUMN($B127))/3)
"),47201)</f>
        <v>47201</v>
      </c>
      <c r="U127" s="81"/>
      <c r="V127" s="82"/>
      <c r="W127" s="143"/>
    </row>
    <row r="128" spans="1:23" ht="15.75" customHeight="1">
      <c r="A128" s="51" t="s">
        <v>147</v>
      </c>
      <c r="B128" s="112"/>
      <c r="C128" s="111"/>
      <c r="D128" s="17">
        <f>V126+C128</f>
        <v>-1459</v>
      </c>
      <c r="E128" s="109"/>
      <c r="F128" s="109"/>
      <c r="G128" s="54">
        <f>D138+F128</f>
        <v>-1459</v>
      </c>
      <c r="H128" s="110"/>
      <c r="I128" s="111"/>
      <c r="J128" s="17">
        <f>G138+I128</f>
        <v>-1459</v>
      </c>
      <c r="K128" s="109"/>
      <c r="L128" s="109"/>
      <c r="M128" s="35">
        <f>J138+L128</f>
        <v>-1459</v>
      </c>
      <c r="N128" s="112"/>
      <c r="O128" s="111"/>
      <c r="P128" s="17">
        <f>M138+O128</f>
        <v>-1459</v>
      </c>
      <c r="Q128" s="109"/>
      <c r="R128" s="109"/>
      <c r="S128" s="35">
        <f>P138+R128</f>
        <v>-1459</v>
      </c>
      <c r="T128" s="112"/>
      <c r="U128" s="111"/>
      <c r="V128" s="48">
        <f>S138+U128</f>
        <v>-1459</v>
      </c>
      <c r="W128" s="143"/>
    </row>
    <row r="129" spans="1:23" ht="15.75" customHeight="1">
      <c r="A129" s="114"/>
      <c r="B129" s="106"/>
      <c r="C129" s="107"/>
      <c r="D129" s="26">
        <f t="shared" ref="D129:D138" si="77">D128+C129</f>
        <v>-1459</v>
      </c>
      <c r="E129" s="117"/>
      <c r="F129" s="117"/>
      <c r="G129" s="19">
        <f t="shared" ref="G129:G138" si="78">G128+F129</f>
        <v>-1459</v>
      </c>
      <c r="H129" s="106"/>
      <c r="I129" s="107"/>
      <c r="J129" s="26">
        <f t="shared" ref="J129:J138" si="79">J128+I129</f>
        <v>-1459</v>
      </c>
      <c r="K129" s="117"/>
      <c r="L129" s="117"/>
      <c r="M129" s="38">
        <f t="shared" ref="M129:M138" si="80">M128+L129</f>
        <v>-1459</v>
      </c>
      <c r="N129" s="106"/>
      <c r="O129" s="107"/>
      <c r="P129" s="26">
        <f t="shared" ref="P129:P138" si="81">P128+O129</f>
        <v>-1459</v>
      </c>
      <c r="Q129" s="117"/>
      <c r="R129" s="117"/>
      <c r="S129" s="38">
        <f t="shared" ref="S129:S138" si="82">S128+R129</f>
        <v>-1459</v>
      </c>
      <c r="T129" s="106"/>
      <c r="U129" s="107"/>
      <c r="V129" s="20">
        <f t="shared" ref="V129:V138" si="83">V128+U129</f>
        <v>-1459</v>
      </c>
      <c r="W129" s="143"/>
    </row>
    <row r="130" spans="1:23" ht="15.75" customHeight="1">
      <c r="A130" s="114"/>
      <c r="B130" s="106"/>
      <c r="C130" s="107"/>
      <c r="D130" s="26">
        <f t="shared" si="77"/>
        <v>-1459</v>
      </c>
      <c r="E130" s="117"/>
      <c r="F130" s="117"/>
      <c r="G130" s="19">
        <f t="shared" si="78"/>
        <v>-1459</v>
      </c>
      <c r="H130" s="106"/>
      <c r="I130" s="107"/>
      <c r="J130" s="26">
        <f t="shared" si="79"/>
        <v>-1459</v>
      </c>
      <c r="K130" s="117"/>
      <c r="L130" s="117"/>
      <c r="M130" s="38">
        <f t="shared" si="80"/>
        <v>-1459</v>
      </c>
      <c r="N130" s="106"/>
      <c r="O130" s="107"/>
      <c r="P130" s="26">
        <f t="shared" si="81"/>
        <v>-1459</v>
      </c>
      <c r="Q130" s="117"/>
      <c r="R130" s="117"/>
      <c r="S130" s="38">
        <f t="shared" si="82"/>
        <v>-1459</v>
      </c>
      <c r="T130" s="106"/>
      <c r="U130" s="116"/>
      <c r="V130" s="20">
        <f t="shared" si="83"/>
        <v>-1459</v>
      </c>
      <c r="W130" s="143"/>
    </row>
    <row r="131" spans="1:23" ht="15.75" customHeight="1">
      <c r="A131" s="114"/>
      <c r="B131" s="106"/>
      <c r="C131" s="107"/>
      <c r="D131" s="26">
        <f t="shared" si="77"/>
        <v>-1459</v>
      </c>
      <c r="E131" s="117"/>
      <c r="F131" s="117"/>
      <c r="G131" s="19">
        <f t="shared" si="78"/>
        <v>-1459</v>
      </c>
      <c r="H131" s="106"/>
      <c r="I131" s="107"/>
      <c r="J131" s="26">
        <f t="shared" si="79"/>
        <v>-1459</v>
      </c>
      <c r="K131" s="117"/>
      <c r="L131" s="117"/>
      <c r="M131" s="38">
        <f t="shared" si="80"/>
        <v>-1459</v>
      </c>
      <c r="N131" s="106"/>
      <c r="O131" s="107"/>
      <c r="P131" s="26">
        <f t="shared" si="81"/>
        <v>-1459</v>
      </c>
      <c r="Q131" s="117"/>
      <c r="R131" s="117"/>
      <c r="S131" s="38">
        <f t="shared" si="82"/>
        <v>-1459</v>
      </c>
      <c r="T131" s="106"/>
      <c r="U131" s="116"/>
      <c r="V131" s="20">
        <f t="shared" si="83"/>
        <v>-1459</v>
      </c>
      <c r="W131" s="143"/>
    </row>
    <row r="132" spans="1:23" ht="15.75" customHeight="1">
      <c r="A132" s="114"/>
      <c r="B132" s="106"/>
      <c r="C132" s="107"/>
      <c r="D132" s="26">
        <f t="shared" si="77"/>
        <v>-1459</v>
      </c>
      <c r="E132" s="117"/>
      <c r="F132" s="117"/>
      <c r="G132" s="19">
        <f t="shared" si="78"/>
        <v>-1459</v>
      </c>
      <c r="H132" s="106"/>
      <c r="I132" s="107"/>
      <c r="J132" s="26">
        <f t="shared" si="79"/>
        <v>-1459</v>
      </c>
      <c r="K132" s="117"/>
      <c r="L132" s="117"/>
      <c r="M132" s="38">
        <f t="shared" si="80"/>
        <v>-1459</v>
      </c>
      <c r="N132" s="106"/>
      <c r="O132" s="107"/>
      <c r="P132" s="26">
        <f t="shared" si="81"/>
        <v>-1459</v>
      </c>
      <c r="Q132" s="117"/>
      <c r="R132" s="117"/>
      <c r="S132" s="38">
        <f t="shared" si="82"/>
        <v>-1459</v>
      </c>
      <c r="T132" s="106"/>
      <c r="U132" s="116"/>
      <c r="V132" s="20">
        <f t="shared" si="83"/>
        <v>-1459</v>
      </c>
      <c r="W132" s="143"/>
    </row>
    <row r="133" spans="1:23" ht="15.75" customHeight="1">
      <c r="A133" s="114"/>
      <c r="B133" s="106"/>
      <c r="C133" s="107"/>
      <c r="D133" s="26">
        <f t="shared" si="77"/>
        <v>-1459</v>
      </c>
      <c r="E133" s="117"/>
      <c r="F133" s="117"/>
      <c r="G133" s="19">
        <f t="shared" si="78"/>
        <v>-1459</v>
      </c>
      <c r="H133" s="106"/>
      <c r="I133" s="107"/>
      <c r="J133" s="26">
        <f t="shared" si="79"/>
        <v>-1459</v>
      </c>
      <c r="K133" s="117"/>
      <c r="L133" s="117"/>
      <c r="M133" s="38">
        <f t="shared" si="80"/>
        <v>-1459</v>
      </c>
      <c r="N133" s="106"/>
      <c r="O133" s="107"/>
      <c r="P133" s="26">
        <f t="shared" si="81"/>
        <v>-1459</v>
      </c>
      <c r="Q133" s="117"/>
      <c r="R133" s="117"/>
      <c r="S133" s="38">
        <f t="shared" si="82"/>
        <v>-1459</v>
      </c>
      <c r="T133" s="106"/>
      <c r="U133" s="116"/>
      <c r="V133" s="20">
        <f t="shared" si="83"/>
        <v>-1459</v>
      </c>
      <c r="W133" s="143"/>
    </row>
    <row r="134" spans="1:23" ht="15.75" customHeight="1">
      <c r="A134" s="114"/>
      <c r="B134" s="106"/>
      <c r="C134" s="107"/>
      <c r="D134" s="26">
        <f t="shared" si="77"/>
        <v>-1459</v>
      </c>
      <c r="E134" s="117"/>
      <c r="F134" s="117"/>
      <c r="G134" s="19">
        <f t="shared" si="78"/>
        <v>-1459</v>
      </c>
      <c r="H134" s="106"/>
      <c r="I134" s="107"/>
      <c r="J134" s="26">
        <f t="shared" si="79"/>
        <v>-1459</v>
      </c>
      <c r="K134" s="117"/>
      <c r="L134" s="117"/>
      <c r="M134" s="38">
        <f t="shared" si="80"/>
        <v>-1459</v>
      </c>
      <c r="N134" s="106"/>
      <c r="O134" s="107"/>
      <c r="P134" s="26">
        <f t="shared" si="81"/>
        <v>-1459</v>
      </c>
      <c r="Q134" s="117"/>
      <c r="R134" s="117"/>
      <c r="S134" s="38">
        <f t="shared" si="82"/>
        <v>-1459</v>
      </c>
      <c r="T134" s="106"/>
      <c r="U134" s="116"/>
      <c r="V134" s="20">
        <f t="shared" si="83"/>
        <v>-1459</v>
      </c>
      <c r="W134" s="143"/>
    </row>
    <row r="135" spans="1:23" ht="15.75" customHeight="1">
      <c r="A135" s="114"/>
      <c r="B135" s="106"/>
      <c r="C135" s="107"/>
      <c r="D135" s="26">
        <f t="shared" si="77"/>
        <v>-1459</v>
      </c>
      <c r="E135" s="117"/>
      <c r="F135" s="117"/>
      <c r="G135" s="19">
        <f t="shared" si="78"/>
        <v>-1459</v>
      </c>
      <c r="H135" s="106"/>
      <c r="I135" s="107"/>
      <c r="J135" s="26">
        <f t="shared" si="79"/>
        <v>-1459</v>
      </c>
      <c r="K135" s="117"/>
      <c r="L135" s="117"/>
      <c r="M135" s="38">
        <f t="shared" si="80"/>
        <v>-1459</v>
      </c>
      <c r="N135" s="106"/>
      <c r="O135" s="107"/>
      <c r="P135" s="26">
        <f t="shared" si="81"/>
        <v>-1459</v>
      </c>
      <c r="Q135" s="117"/>
      <c r="R135" s="117"/>
      <c r="S135" s="38">
        <f t="shared" si="82"/>
        <v>-1459</v>
      </c>
      <c r="T135" s="106"/>
      <c r="U135" s="116"/>
      <c r="V135" s="20">
        <f t="shared" si="83"/>
        <v>-1459</v>
      </c>
      <c r="W135" s="143"/>
    </row>
    <row r="136" spans="1:23" ht="15.75" customHeight="1">
      <c r="A136" s="114"/>
      <c r="B136" s="122"/>
      <c r="C136" s="123"/>
      <c r="D136" s="26">
        <f t="shared" si="77"/>
        <v>-1459</v>
      </c>
      <c r="E136" s="117"/>
      <c r="F136" s="117"/>
      <c r="G136" s="19">
        <f t="shared" si="78"/>
        <v>-1459</v>
      </c>
      <c r="H136" s="122"/>
      <c r="I136" s="123"/>
      <c r="J136" s="26">
        <f t="shared" si="79"/>
        <v>-1459</v>
      </c>
      <c r="K136" s="117"/>
      <c r="L136" s="117"/>
      <c r="M136" s="38">
        <f t="shared" si="80"/>
        <v>-1459</v>
      </c>
      <c r="N136" s="122"/>
      <c r="O136" s="123"/>
      <c r="P136" s="26">
        <f t="shared" si="81"/>
        <v>-1459</v>
      </c>
      <c r="Q136" s="117"/>
      <c r="R136" s="117"/>
      <c r="S136" s="38">
        <f t="shared" si="82"/>
        <v>-1459</v>
      </c>
      <c r="T136" s="106"/>
      <c r="U136" s="116"/>
      <c r="V136" s="20">
        <f t="shared" si="83"/>
        <v>-1459</v>
      </c>
      <c r="W136" s="143"/>
    </row>
    <row r="137" spans="1:23" ht="15.75" customHeight="1">
      <c r="A137" s="114"/>
      <c r="B137" s="122"/>
      <c r="C137" s="123"/>
      <c r="D137" s="26">
        <f t="shared" si="77"/>
        <v>-1459</v>
      </c>
      <c r="E137" s="117"/>
      <c r="F137" s="117"/>
      <c r="G137" s="19">
        <f t="shared" si="78"/>
        <v>-1459</v>
      </c>
      <c r="H137" s="122"/>
      <c r="I137" s="123"/>
      <c r="J137" s="26">
        <f t="shared" si="79"/>
        <v>-1459</v>
      </c>
      <c r="K137" s="117"/>
      <c r="L137" s="117"/>
      <c r="M137" s="38">
        <f t="shared" si="80"/>
        <v>-1459</v>
      </c>
      <c r="N137" s="122"/>
      <c r="O137" s="123"/>
      <c r="P137" s="26">
        <f t="shared" si="81"/>
        <v>-1459</v>
      </c>
      <c r="Q137" s="117"/>
      <c r="R137" s="117"/>
      <c r="S137" s="38">
        <f t="shared" si="82"/>
        <v>-1459</v>
      </c>
      <c r="T137" s="122"/>
      <c r="U137" s="124"/>
      <c r="V137" s="20">
        <f t="shared" si="83"/>
        <v>-1459</v>
      </c>
      <c r="W137" s="143"/>
    </row>
    <row r="138" spans="1:23" ht="15.75" customHeight="1">
      <c r="A138" s="114"/>
      <c r="B138" s="122"/>
      <c r="C138" s="123"/>
      <c r="D138" s="39">
        <f t="shared" si="77"/>
        <v>-1459</v>
      </c>
      <c r="E138" s="128"/>
      <c r="F138" s="128"/>
      <c r="G138" s="29">
        <f t="shared" si="78"/>
        <v>-1459</v>
      </c>
      <c r="H138" s="122"/>
      <c r="I138" s="123"/>
      <c r="J138" s="39">
        <f t="shared" si="79"/>
        <v>-1459</v>
      </c>
      <c r="K138" s="128"/>
      <c r="L138" s="128"/>
      <c r="M138" s="40">
        <f t="shared" si="80"/>
        <v>-1459</v>
      </c>
      <c r="N138" s="122"/>
      <c r="O138" s="123"/>
      <c r="P138" s="39">
        <f t="shared" si="81"/>
        <v>-1459</v>
      </c>
      <c r="Q138" s="128"/>
      <c r="R138" s="128"/>
      <c r="S138" s="40">
        <f t="shared" si="82"/>
        <v>-1459</v>
      </c>
      <c r="T138" s="122"/>
      <c r="U138" s="123"/>
      <c r="V138" s="49">
        <f t="shared" si="83"/>
        <v>-1459</v>
      </c>
      <c r="W138" s="143"/>
    </row>
    <row r="139" spans="1:23" ht="15.75" customHeight="1">
      <c r="A139" s="87"/>
      <c r="B139" s="77">
        <f ca="1">IFERROR(__xludf.DUMMYFUNCTION("DATE(VALUE(LEFT($B$2,4)),VALUE(MID($B$2,6,2)),VALUE(RIGHT($B$2,2)))
+ (VALUE(REGEXEXTRACT(INDIRECT(""A""&amp;ROW()+1),""\d+""))-1)*7
+ INT((COLUMN()-COLUMN($B139))/3)
"),47202)</f>
        <v>47202</v>
      </c>
      <c r="C139" s="81"/>
      <c r="D139" s="82"/>
      <c r="E139" s="77">
        <f ca="1">IFERROR(__xludf.DUMMYFUNCTION("DATE(VALUE(LEFT($B$2,4)),VALUE(MID($B$2,6,2)),VALUE(RIGHT($B$2,2)))
+ (VALUE(REGEXEXTRACT(INDIRECT(""A""&amp;ROW()+1),""\d+""))-1)*7
+ INT((COLUMN()-COLUMN($B139))/3)
"),47203)</f>
        <v>47203</v>
      </c>
      <c r="F139" s="81"/>
      <c r="G139" s="82"/>
      <c r="H139" s="77">
        <f ca="1">IFERROR(__xludf.DUMMYFUNCTION("DATE(VALUE(LEFT($B$2,4)),VALUE(MID($B$2,6,2)),VALUE(RIGHT($B$2,2)))
+ (VALUE(REGEXEXTRACT(INDIRECT(""A""&amp;ROW()+1),""\d+""))-1)*7
+ INT((COLUMN()-COLUMN($B139))/3)
"),47204)</f>
        <v>47204</v>
      </c>
      <c r="I139" s="81"/>
      <c r="J139" s="82"/>
      <c r="K139" s="77">
        <f ca="1">IFERROR(__xludf.DUMMYFUNCTION("DATE(VALUE(LEFT($B$2,4)),VALUE(MID($B$2,6,2)),VALUE(RIGHT($B$2,2)))
+ (VALUE(REGEXEXTRACT(INDIRECT(""A""&amp;ROW()+1),""\d+""))-1)*7
+ INT((COLUMN()-COLUMN($B139))/3)
"),47205)</f>
        <v>47205</v>
      </c>
      <c r="L139" s="81"/>
      <c r="M139" s="82"/>
      <c r="N139" s="77">
        <f ca="1">IFERROR(__xludf.DUMMYFUNCTION("DATE(VALUE(LEFT($B$2,4)),VALUE(MID($B$2,6,2)),VALUE(RIGHT($B$2,2)))
+ (VALUE(REGEXEXTRACT(INDIRECT(""A""&amp;ROW()+1),""\d+""))-1)*7
+ INT((COLUMN()-COLUMN($B139))/3)
"),47206)</f>
        <v>47206</v>
      </c>
      <c r="O139" s="81"/>
      <c r="P139" s="82"/>
      <c r="Q139" s="77">
        <f ca="1">IFERROR(__xludf.DUMMYFUNCTION("DATE(VALUE(LEFT($B$2,4)),VALUE(MID($B$2,6,2)),VALUE(RIGHT($B$2,2)))
+ (VALUE(REGEXEXTRACT(INDIRECT(""A""&amp;ROW()+1),""\d+""))-1)*7
+ INT((COLUMN()-COLUMN($B139))/3)
"),47207)</f>
        <v>47207</v>
      </c>
      <c r="R139" s="81"/>
      <c r="S139" s="82"/>
      <c r="T139" s="77">
        <f ca="1">IFERROR(__xludf.DUMMYFUNCTION("DATE(VALUE(LEFT($B$2,4)),VALUE(MID($B$2,6,2)),VALUE(RIGHT($B$2,2)))
+ (VALUE(REGEXEXTRACT(INDIRECT(""A""&amp;ROW()+1),""\d+""))-1)*7
+ INT((COLUMN()-COLUMN($B139))/3)
"),47208)</f>
        <v>47208</v>
      </c>
      <c r="U139" s="81"/>
      <c r="V139" s="82"/>
      <c r="W139" s="52" t="s">
        <v>20</v>
      </c>
    </row>
    <row r="140" spans="1:23" ht="15.75" customHeight="1">
      <c r="A140" s="47" t="s">
        <v>148</v>
      </c>
      <c r="B140" s="109"/>
      <c r="C140" s="109"/>
      <c r="D140" s="50">
        <f>V138+C140</f>
        <v>-1459</v>
      </c>
      <c r="E140" s="112"/>
      <c r="F140" s="111"/>
      <c r="G140" s="17">
        <f>D150+F140</f>
        <v>-1459</v>
      </c>
      <c r="H140" s="132"/>
      <c r="I140" s="109"/>
      <c r="J140" s="42">
        <f>G150+I140</f>
        <v>-1459</v>
      </c>
      <c r="K140" s="110"/>
      <c r="L140" s="111"/>
      <c r="M140" s="18">
        <f>J150+L140</f>
        <v>-1459</v>
      </c>
      <c r="N140" s="113"/>
      <c r="O140" s="109"/>
      <c r="P140" s="35">
        <f>M150+O140</f>
        <v>-1459</v>
      </c>
      <c r="Q140" s="112"/>
      <c r="R140" s="111"/>
      <c r="S140" s="18">
        <f>P150+R140</f>
        <v>-1459</v>
      </c>
      <c r="T140" s="113"/>
      <c r="U140" s="109"/>
      <c r="V140" s="50">
        <f>S150+U140</f>
        <v>-1459</v>
      </c>
      <c r="W140" s="172"/>
    </row>
    <row r="141" spans="1:23" ht="15.75" customHeight="1">
      <c r="A141" s="114"/>
      <c r="B141" s="117"/>
      <c r="C141" s="117"/>
      <c r="D141" s="45">
        <f t="shared" ref="D141:D150" si="84">D140+C141</f>
        <v>-1459</v>
      </c>
      <c r="E141" s="106"/>
      <c r="F141" s="116"/>
      <c r="G141" s="26">
        <f t="shared" ref="G141:G150" si="85">G140+F141</f>
        <v>-1459</v>
      </c>
      <c r="H141" s="133"/>
      <c r="I141" s="117"/>
      <c r="J141" s="19">
        <f t="shared" ref="J141:J150" si="86">J140+I141</f>
        <v>-1459</v>
      </c>
      <c r="K141" s="116"/>
      <c r="L141" s="107"/>
      <c r="M141" s="26">
        <f t="shared" ref="M141:M150" si="87">M140+L141</f>
        <v>-1459</v>
      </c>
      <c r="N141" s="136"/>
      <c r="O141" s="136"/>
      <c r="P141" s="38">
        <f t="shared" ref="P141:P150" si="88">P140+O141</f>
        <v>-1459</v>
      </c>
      <c r="Q141" s="106"/>
      <c r="R141" s="107"/>
      <c r="S141" s="26">
        <f t="shared" ref="S141:S150" si="89">S140+R141</f>
        <v>-1459</v>
      </c>
      <c r="T141" s="136"/>
      <c r="U141" s="136"/>
      <c r="V141" s="45">
        <f t="shared" ref="V141:V150" si="90">V140+U141</f>
        <v>-1459</v>
      </c>
      <c r="W141" s="143"/>
    </row>
    <row r="142" spans="1:23" ht="15.75" customHeight="1">
      <c r="A142" s="114"/>
      <c r="B142" s="117"/>
      <c r="C142" s="117"/>
      <c r="D142" s="45">
        <f t="shared" si="84"/>
        <v>-1459</v>
      </c>
      <c r="E142" s="106"/>
      <c r="F142" s="116"/>
      <c r="G142" s="26">
        <f t="shared" si="85"/>
        <v>-1459</v>
      </c>
      <c r="H142" s="133"/>
      <c r="I142" s="117"/>
      <c r="J142" s="19">
        <f t="shared" si="86"/>
        <v>-1459</v>
      </c>
      <c r="K142" s="116"/>
      <c r="L142" s="107"/>
      <c r="M142" s="26">
        <f t="shared" si="87"/>
        <v>-1459</v>
      </c>
      <c r="N142" s="117"/>
      <c r="O142" s="117"/>
      <c r="P142" s="38">
        <f t="shared" si="88"/>
        <v>-1459</v>
      </c>
      <c r="Q142" s="106"/>
      <c r="R142" s="107"/>
      <c r="S142" s="26">
        <f t="shared" si="89"/>
        <v>-1459</v>
      </c>
      <c r="T142" s="136"/>
      <c r="U142" s="136"/>
      <c r="V142" s="45">
        <f t="shared" si="90"/>
        <v>-1459</v>
      </c>
      <c r="W142" s="143"/>
    </row>
    <row r="143" spans="1:23" ht="15.75" customHeight="1">
      <c r="A143" s="114"/>
      <c r="B143" s="117"/>
      <c r="C143" s="117"/>
      <c r="D143" s="45">
        <f t="shared" si="84"/>
        <v>-1459</v>
      </c>
      <c r="E143" s="106"/>
      <c r="F143" s="116"/>
      <c r="G143" s="26">
        <f t="shared" si="85"/>
        <v>-1459</v>
      </c>
      <c r="H143" s="133"/>
      <c r="I143" s="117"/>
      <c r="J143" s="19">
        <f t="shared" si="86"/>
        <v>-1459</v>
      </c>
      <c r="K143" s="116"/>
      <c r="L143" s="107"/>
      <c r="M143" s="26">
        <f t="shared" si="87"/>
        <v>-1459</v>
      </c>
      <c r="N143" s="117"/>
      <c r="O143" s="117"/>
      <c r="P143" s="38">
        <f t="shared" si="88"/>
        <v>-1459</v>
      </c>
      <c r="Q143" s="106"/>
      <c r="R143" s="116"/>
      <c r="S143" s="26">
        <f t="shared" si="89"/>
        <v>-1459</v>
      </c>
      <c r="T143" s="136"/>
      <c r="U143" s="136"/>
      <c r="V143" s="45">
        <f t="shared" si="90"/>
        <v>-1459</v>
      </c>
      <c r="W143" s="143"/>
    </row>
    <row r="144" spans="1:23" ht="15.75" customHeight="1">
      <c r="A144" s="114"/>
      <c r="B144" s="117"/>
      <c r="C144" s="117"/>
      <c r="D144" s="45">
        <f t="shared" si="84"/>
        <v>-1459</v>
      </c>
      <c r="E144" s="106"/>
      <c r="F144" s="116"/>
      <c r="G144" s="26">
        <f t="shared" si="85"/>
        <v>-1459</v>
      </c>
      <c r="H144" s="133"/>
      <c r="I144" s="117"/>
      <c r="J144" s="19">
        <f t="shared" si="86"/>
        <v>-1459</v>
      </c>
      <c r="K144" s="116"/>
      <c r="L144" s="107"/>
      <c r="M144" s="26">
        <f t="shared" si="87"/>
        <v>-1459</v>
      </c>
      <c r="N144" s="117"/>
      <c r="O144" s="117"/>
      <c r="P144" s="38">
        <f t="shared" si="88"/>
        <v>-1459</v>
      </c>
      <c r="Q144" s="106"/>
      <c r="R144" s="116"/>
      <c r="S144" s="26">
        <f t="shared" si="89"/>
        <v>-1459</v>
      </c>
      <c r="T144" s="136"/>
      <c r="U144" s="136"/>
      <c r="V144" s="45">
        <f t="shared" si="90"/>
        <v>-1459</v>
      </c>
      <c r="W144" s="143"/>
    </row>
    <row r="145" spans="1:23" ht="15.75" customHeight="1">
      <c r="A145" s="114"/>
      <c r="B145" s="117"/>
      <c r="C145" s="117"/>
      <c r="D145" s="45">
        <f t="shared" si="84"/>
        <v>-1459</v>
      </c>
      <c r="E145" s="106"/>
      <c r="F145" s="116"/>
      <c r="G145" s="26">
        <f t="shared" si="85"/>
        <v>-1459</v>
      </c>
      <c r="H145" s="133"/>
      <c r="I145" s="117"/>
      <c r="J145" s="19">
        <f t="shared" si="86"/>
        <v>-1459</v>
      </c>
      <c r="K145" s="116"/>
      <c r="L145" s="107"/>
      <c r="M145" s="26">
        <f t="shared" si="87"/>
        <v>-1459</v>
      </c>
      <c r="N145" s="117"/>
      <c r="O145" s="117"/>
      <c r="P145" s="38">
        <f t="shared" si="88"/>
        <v>-1459</v>
      </c>
      <c r="Q145" s="106"/>
      <c r="R145" s="116"/>
      <c r="S145" s="26">
        <f t="shared" si="89"/>
        <v>-1459</v>
      </c>
      <c r="T145" s="136"/>
      <c r="U145" s="136"/>
      <c r="V145" s="45">
        <f t="shared" si="90"/>
        <v>-1459</v>
      </c>
      <c r="W145" s="143"/>
    </row>
    <row r="146" spans="1:23" ht="15.75" customHeight="1">
      <c r="A146" s="114"/>
      <c r="B146" s="117"/>
      <c r="C146" s="117"/>
      <c r="D146" s="45">
        <f t="shared" si="84"/>
        <v>-1459</v>
      </c>
      <c r="E146" s="106"/>
      <c r="F146" s="107"/>
      <c r="G146" s="26">
        <f t="shared" si="85"/>
        <v>-1459</v>
      </c>
      <c r="H146" s="133"/>
      <c r="I146" s="117"/>
      <c r="J146" s="19">
        <f t="shared" si="86"/>
        <v>-1459</v>
      </c>
      <c r="K146" s="116"/>
      <c r="L146" s="107"/>
      <c r="M146" s="26">
        <f t="shared" si="87"/>
        <v>-1459</v>
      </c>
      <c r="N146" s="117"/>
      <c r="O146" s="117"/>
      <c r="P146" s="38">
        <f t="shared" si="88"/>
        <v>-1459</v>
      </c>
      <c r="Q146" s="106"/>
      <c r="R146" s="107"/>
      <c r="S146" s="26">
        <f t="shared" si="89"/>
        <v>-1459</v>
      </c>
      <c r="T146" s="136"/>
      <c r="U146" s="136"/>
      <c r="V146" s="45">
        <f t="shared" si="90"/>
        <v>-1459</v>
      </c>
      <c r="W146" s="143"/>
    </row>
    <row r="147" spans="1:23" ht="15.75" customHeight="1">
      <c r="A147" s="114"/>
      <c r="B147" s="117"/>
      <c r="C147" s="117"/>
      <c r="D147" s="45">
        <f t="shared" si="84"/>
        <v>-1459</v>
      </c>
      <c r="E147" s="106"/>
      <c r="F147" s="107"/>
      <c r="G147" s="26">
        <f t="shared" si="85"/>
        <v>-1459</v>
      </c>
      <c r="H147" s="133"/>
      <c r="I147" s="117"/>
      <c r="J147" s="19">
        <f t="shared" si="86"/>
        <v>-1459</v>
      </c>
      <c r="K147" s="116"/>
      <c r="L147" s="107"/>
      <c r="M147" s="26">
        <f t="shared" si="87"/>
        <v>-1459</v>
      </c>
      <c r="N147" s="117"/>
      <c r="O147" s="117"/>
      <c r="P147" s="38">
        <f t="shared" si="88"/>
        <v>-1459</v>
      </c>
      <c r="Q147" s="106"/>
      <c r="R147" s="107"/>
      <c r="S147" s="26">
        <f t="shared" si="89"/>
        <v>-1459</v>
      </c>
      <c r="T147" s="136"/>
      <c r="U147" s="136"/>
      <c r="V147" s="45">
        <f t="shared" si="90"/>
        <v>-1459</v>
      </c>
      <c r="W147" s="143"/>
    </row>
    <row r="148" spans="1:23" ht="15.75" customHeight="1">
      <c r="A148" s="114"/>
      <c r="B148" s="117"/>
      <c r="C148" s="117"/>
      <c r="D148" s="45">
        <f t="shared" si="84"/>
        <v>-1459</v>
      </c>
      <c r="E148" s="106"/>
      <c r="F148" s="107"/>
      <c r="G148" s="26">
        <f t="shared" si="85"/>
        <v>-1459</v>
      </c>
      <c r="H148" s="133"/>
      <c r="I148" s="117"/>
      <c r="J148" s="19">
        <f t="shared" si="86"/>
        <v>-1459</v>
      </c>
      <c r="K148" s="116"/>
      <c r="L148" s="107"/>
      <c r="M148" s="26">
        <f t="shared" si="87"/>
        <v>-1459</v>
      </c>
      <c r="N148" s="117"/>
      <c r="O148" s="117"/>
      <c r="P148" s="38">
        <f t="shared" si="88"/>
        <v>-1459</v>
      </c>
      <c r="Q148" s="106"/>
      <c r="R148" s="107"/>
      <c r="S148" s="26">
        <f t="shared" si="89"/>
        <v>-1459</v>
      </c>
      <c r="T148" s="136"/>
      <c r="U148" s="136"/>
      <c r="V148" s="45">
        <f t="shared" si="90"/>
        <v>-1459</v>
      </c>
      <c r="W148" s="143"/>
    </row>
    <row r="149" spans="1:23" ht="15.75" customHeight="1">
      <c r="A149" s="114"/>
      <c r="B149" s="117"/>
      <c r="C149" s="117"/>
      <c r="D149" s="45">
        <f t="shared" si="84"/>
        <v>-1459</v>
      </c>
      <c r="E149" s="122"/>
      <c r="F149" s="123"/>
      <c r="G149" s="26">
        <f t="shared" si="85"/>
        <v>-1459</v>
      </c>
      <c r="H149" s="133"/>
      <c r="I149" s="117"/>
      <c r="J149" s="19">
        <f t="shared" si="86"/>
        <v>-1459</v>
      </c>
      <c r="K149" s="124"/>
      <c r="L149" s="123"/>
      <c r="M149" s="26">
        <f t="shared" si="87"/>
        <v>-1459</v>
      </c>
      <c r="N149" s="117"/>
      <c r="O149" s="117"/>
      <c r="P149" s="38">
        <f t="shared" si="88"/>
        <v>-1459</v>
      </c>
      <c r="Q149" s="122"/>
      <c r="R149" s="123"/>
      <c r="S149" s="26">
        <f t="shared" si="89"/>
        <v>-1459</v>
      </c>
      <c r="T149" s="136"/>
      <c r="U149" s="136"/>
      <c r="V149" s="45">
        <f t="shared" si="90"/>
        <v>-1459</v>
      </c>
      <c r="W149" s="143"/>
    </row>
    <row r="150" spans="1:23" ht="15.75" customHeight="1">
      <c r="A150" s="114"/>
      <c r="B150" s="128"/>
      <c r="C150" s="128"/>
      <c r="D150" s="46">
        <f t="shared" si="84"/>
        <v>-1459</v>
      </c>
      <c r="E150" s="122"/>
      <c r="F150" s="123"/>
      <c r="G150" s="39">
        <f t="shared" si="85"/>
        <v>-1459</v>
      </c>
      <c r="H150" s="140"/>
      <c r="I150" s="128"/>
      <c r="J150" s="29">
        <f t="shared" si="86"/>
        <v>-1459</v>
      </c>
      <c r="K150" s="124"/>
      <c r="L150" s="123"/>
      <c r="M150" s="39">
        <f t="shared" si="87"/>
        <v>-1459</v>
      </c>
      <c r="N150" s="128"/>
      <c r="O150" s="128"/>
      <c r="P150" s="40">
        <f t="shared" si="88"/>
        <v>-1459</v>
      </c>
      <c r="Q150" s="122"/>
      <c r="R150" s="123"/>
      <c r="S150" s="39">
        <f t="shared" si="89"/>
        <v>-1459</v>
      </c>
      <c r="T150" s="141"/>
      <c r="U150" s="141"/>
      <c r="V150" s="46">
        <f t="shared" si="90"/>
        <v>-1459</v>
      </c>
      <c r="W150" s="143"/>
    </row>
    <row r="151" spans="1:23" ht="15.75" customHeight="1">
      <c r="A151" s="87"/>
      <c r="B151" s="77">
        <f ca="1">IFERROR(__xludf.DUMMYFUNCTION("DATE(VALUE(LEFT($B$2,4)),VALUE(MID($B$2,6,2)),VALUE(RIGHT($B$2,2)))
+ (VALUE(REGEXEXTRACT(INDIRECT(""A""&amp;ROW()+1),""\d+""))-1)*7
+ INT((COLUMN()-COLUMN($B151))/3)
"),47209)</f>
        <v>47209</v>
      </c>
      <c r="C151" s="81"/>
      <c r="D151" s="82"/>
      <c r="E151" s="77">
        <f ca="1">IFERROR(__xludf.DUMMYFUNCTION("DATE(VALUE(LEFT($B$2,4)),VALUE(MID($B$2,6,2)),VALUE(RIGHT($B$2,2)))
+ (VALUE(REGEXEXTRACT(INDIRECT(""A""&amp;ROW()+1),""\d+""))-1)*7
+ INT((COLUMN()-COLUMN($B151))/3)
"),47210)</f>
        <v>47210</v>
      </c>
      <c r="F151" s="81"/>
      <c r="G151" s="82"/>
      <c r="H151" s="77">
        <f ca="1">IFERROR(__xludf.DUMMYFUNCTION("DATE(VALUE(LEFT($B$2,4)),VALUE(MID($B$2,6,2)),VALUE(RIGHT($B$2,2)))
+ (VALUE(REGEXEXTRACT(INDIRECT(""A""&amp;ROW()+1),""\d+""))-1)*7
+ INT((COLUMN()-COLUMN($B151))/3)
"),47211)</f>
        <v>47211</v>
      </c>
      <c r="I151" s="81"/>
      <c r="J151" s="82"/>
      <c r="K151" s="77">
        <f ca="1">IFERROR(__xludf.DUMMYFUNCTION("DATE(VALUE(LEFT($B$2,4)),VALUE(MID($B$2,6,2)),VALUE(RIGHT($B$2,2)))
+ (VALUE(REGEXEXTRACT(INDIRECT(""A""&amp;ROW()+1),""\d+""))-1)*7
+ INT((COLUMN()-COLUMN($B151))/3)
"),47212)</f>
        <v>47212</v>
      </c>
      <c r="L151" s="81"/>
      <c r="M151" s="82"/>
      <c r="N151" s="77">
        <f ca="1">IFERROR(__xludf.DUMMYFUNCTION("DATE(VALUE(LEFT($B$2,4)),VALUE(MID($B$2,6,2)),VALUE(RIGHT($B$2,2)))
+ (VALUE(REGEXEXTRACT(INDIRECT(""A""&amp;ROW()+1),""\d+""))-1)*7
+ INT((COLUMN()-COLUMN($B151))/3)
"),47213)</f>
        <v>47213</v>
      </c>
      <c r="O151" s="81"/>
      <c r="P151" s="82"/>
      <c r="Q151" s="77">
        <f ca="1">IFERROR(__xludf.DUMMYFUNCTION("DATE(VALUE(LEFT($B$2,4)),VALUE(MID($B$2,6,2)),VALUE(RIGHT($B$2,2)))
+ (VALUE(REGEXEXTRACT(INDIRECT(""A""&amp;ROW()+1),""\d+""))-1)*7
+ INT((COLUMN()-COLUMN($B151))/3)
"),47214)</f>
        <v>47214</v>
      </c>
      <c r="R151" s="81"/>
      <c r="S151" s="82"/>
      <c r="T151" s="77">
        <f ca="1">IFERROR(__xludf.DUMMYFUNCTION("DATE(VALUE(LEFT($B$2,4)),VALUE(MID($B$2,6,2)),VALUE(RIGHT($B$2,2)))
+ (VALUE(REGEXEXTRACT(INDIRECT(""A""&amp;ROW()+1),""\d+""))-1)*7
+ INT((COLUMN()-COLUMN($B151))/3)
"),47215)</f>
        <v>47215</v>
      </c>
      <c r="U151" s="81"/>
      <c r="V151" s="82"/>
      <c r="W151" s="143"/>
    </row>
    <row r="152" spans="1:23" ht="15.75" customHeight="1">
      <c r="A152" s="51" t="s">
        <v>149</v>
      </c>
      <c r="B152" s="112"/>
      <c r="C152" s="111"/>
      <c r="D152" s="48">
        <f>V150+C152</f>
        <v>-1459</v>
      </c>
      <c r="E152" s="113"/>
      <c r="F152" s="109"/>
      <c r="G152" s="42">
        <f>D162+F152</f>
        <v>-1459</v>
      </c>
      <c r="H152" s="110"/>
      <c r="I152" s="111"/>
      <c r="J152" s="17">
        <f>G162+I152</f>
        <v>-1459</v>
      </c>
      <c r="K152" s="132"/>
      <c r="L152" s="109"/>
      <c r="M152" s="35">
        <f>J162+L152</f>
        <v>-1459</v>
      </c>
      <c r="N152" s="112"/>
      <c r="O152" s="111"/>
      <c r="P152" s="17">
        <f>M162+O152</f>
        <v>-1459</v>
      </c>
      <c r="Q152" s="109"/>
      <c r="R152" s="109"/>
      <c r="S152" s="35">
        <f>P162+R152</f>
        <v>-1459</v>
      </c>
      <c r="T152" s="112"/>
      <c r="U152" s="111"/>
      <c r="V152" s="48">
        <f>S162+U152</f>
        <v>-1459</v>
      </c>
      <c r="W152" s="143"/>
    </row>
    <row r="153" spans="1:23" ht="15.75" customHeight="1">
      <c r="A153" s="114"/>
      <c r="B153" s="106"/>
      <c r="C153" s="107"/>
      <c r="D153" s="20">
        <f t="shared" ref="D153:D162" si="91">D152+C153</f>
        <v>-1459</v>
      </c>
      <c r="E153" s="118"/>
      <c r="F153" s="117"/>
      <c r="G153" s="19">
        <f t="shared" ref="G153:G162" si="92">G152+F153</f>
        <v>-1459</v>
      </c>
      <c r="H153" s="116"/>
      <c r="I153" s="107"/>
      <c r="J153" s="26">
        <f t="shared" ref="J153:J162" si="93">J152+I153</f>
        <v>-1459</v>
      </c>
      <c r="K153" s="133"/>
      <c r="L153" s="117"/>
      <c r="M153" s="38">
        <f t="shared" ref="M153:M162" si="94">M152+L153</f>
        <v>-1459</v>
      </c>
      <c r="N153" s="106"/>
      <c r="O153" s="107"/>
      <c r="P153" s="26">
        <f t="shared" ref="P153:P162" si="95">P152+O153</f>
        <v>-1459</v>
      </c>
      <c r="Q153" s="117"/>
      <c r="R153" s="117"/>
      <c r="S153" s="38">
        <f t="shared" ref="S153:S162" si="96">S152+R153</f>
        <v>-1459</v>
      </c>
      <c r="T153" s="106"/>
      <c r="U153" s="107"/>
      <c r="V153" s="20">
        <f t="shared" ref="V153:V162" si="97">V152+U153</f>
        <v>-1459</v>
      </c>
      <c r="W153" s="143"/>
    </row>
    <row r="154" spans="1:23" ht="15.75" customHeight="1">
      <c r="A154" s="114"/>
      <c r="B154" s="106"/>
      <c r="C154" s="107"/>
      <c r="D154" s="20">
        <f t="shared" si="91"/>
        <v>-1459</v>
      </c>
      <c r="E154" s="118"/>
      <c r="F154" s="117"/>
      <c r="G154" s="19">
        <f t="shared" si="92"/>
        <v>-1459</v>
      </c>
      <c r="H154" s="116"/>
      <c r="I154" s="107"/>
      <c r="J154" s="26">
        <f t="shared" si="93"/>
        <v>-1459</v>
      </c>
      <c r="K154" s="133"/>
      <c r="L154" s="117"/>
      <c r="M154" s="38">
        <f t="shared" si="94"/>
        <v>-1459</v>
      </c>
      <c r="N154" s="106"/>
      <c r="O154" s="107"/>
      <c r="P154" s="26">
        <f t="shared" si="95"/>
        <v>-1459</v>
      </c>
      <c r="Q154" s="117"/>
      <c r="R154" s="117"/>
      <c r="S154" s="38">
        <f t="shared" si="96"/>
        <v>-1459</v>
      </c>
      <c r="T154" s="106"/>
      <c r="U154" s="116"/>
      <c r="V154" s="20">
        <f t="shared" si="97"/>
        <v>-1459</v>
      </c>
      <c r="W154" s="143"/>
    </row>
    <row r="155" spans="1:23" ht="15.75" customHeight="1">
      <c r="A155" s="114"/>
      <c r="B155" s="106"/>
      <c r="C155" s="107"/>
      <c r="D155" s="20">
        <f t="shared" si="91"/>
        <v>-1459</v>
      </c>
      <c r="E155" s="118"/>
      <c r="F155" s="117"/>
      <c r="G155" s="19">
        <f t="shared" si="92"/>
        <v>-1459</v>
      </c>
      <c r="H155" s="116"/>
      <c r="I155" s="107"/>
      <c r="J155" s="26">
        <f t="shared" si="93"/>
        <v>-1459</v>
      </c>
      <c r="K155" s="133"/>
      <c r="L155" s="117"/>
      <c r="M155" s="38">
        <f t="shared" si="94"/>
        <v>-1459</v>
      </c>
      <c r="N155" s="106"/>
      <c r="O155" s="107"/>
      <c r="P155" s="26">
        <f t="shared" si="95"/>
        <v>-1459</v>
      </c>
      <c r="Q155" s="117"/>
      <c r="R155" s="117"/>
      <c r="S155" s="38">
        <f t="shared" si="96"/>
        <v>-1459</v>
      </c>
      <c r="T155" s="106"/>
      <c r="U155" s="116"/>
      <c r="V155" s="20">
        <f t="shared" si="97"/>
        <v>-1459</v>
      </c>
      <c r="W155" s="143"/>
    </row>
    <row r="156" spans="1:23" ht="15.75" customHeight="1">
      <c r="A156" s="114"/>
      <c r="B156" s="106"/>
      <c r="C156" s="107"/>
      <c r="D156" s="20">
        <f t="shared" si="91"/>
        <v>-1459</v>
      </c>
      <c r="E156" s="118"/>
      <c r="F156" s="117"/>
      <c r="G156" s="19">
        <f t="shared" si="92"/>
        <v>-1459</v>
      </c>
      <c r="H156" s="116"/>
      <c r="I156" s="107"/>
      <c r="J156" s="26">
        <f t="shared" si="93"/>
        <v>-1459</v>
      </c>
      <c r="K156" s="133"/>
      <c r="L156" s="117"/>
      <c r="M156" s="38">
        <f t="shared" si="94"/>
        <v>-1459</v>
      </c>
      <c r="N156" s="106"/>
      <c r="O156" s="107"/>
      <c r="P156" s="26">
        <f t="shared" si="95"/>
        <v>-1459</v>
      </c>
      <c r="Q156" s="117"/>
      <c r="R156" s="117"/>
      <c r="S156" s="38">
        <f t="shared" si="96"/>
        <v>-1459</v>
      </c>
      <c r="T156" s="106"/>
      <c r="U156" s="116"/>
      <c r="V156" s="20">
        <f t="shared" si="97"/>
        <v>-1459</v>
      </c>
      <c r="W156" s="143"/>
    </row>
    <row r="157" spans="1:23" ht="15.75" customHeight="1">
      <c r="A157" s="114"/>
      <c r="B157" s="106"/>
      <c r="C157" s="107"/>
      <c r="D157" s="20">
        <f t="shared" si="91"/>
        <v>-1459</v>
      </c>
      <c r="E157" s="118"/>
      <c r="F157" s="117"/>
      <c r="G157" s="19">
        <f t="shared" si="92"/>
        <v>-1459</v>
      </c>
      <c r="H157" s="116"/>
      <c r="I157" s="107"/>
      <c r="J157" s="26">
        <f t="shared" si="93"/>
        <v>-1459</v>
      </c>
      <c r="K157" s="117"/>
      <c r="L157" s="117"/>
      <c r="M157" s="38">
        <f t="shared" si="94"/>
        <v>-1459</v>
      </c>
      <c r="N157" s="106"/>
      <c r="O157" s="107"/>
      <c r="P157" s="26">
        <f t="shared" si="95"/>
        <v>-1459</v>
      </c>
      <c r="Q157" s="117"/>
      <c r="R157" s="117"/>
      <c r="S157" s="38">
        <f t="shared" si="96"/>
        <v>-1459</v>
      </c>
      <c r="T157" s="106"/>
      <c r="U157" s="116"/>
      <c r="V157" s="20">
        <f t="shared" si="97"/>
        <v>-1459</v>
      </c>
      <c r="W157" s="143"/>
    </row>
    <row r="158" spans="1:23" ht="15.75" customHeight="1">
      <c r="A158" s="114"/>
      <c r="B158" s="106"/>
      <c r="C158" s="107"/>
      <c r="D158" s="20">
        <f t="shared" si="91"/>
        <v>-1459</v>
      </c>
      <c r="E158" s="118"/>
      <c r="F158" s="117"/>
      <c r="G158" s="19">
        <f t="shared" si="92"/>
        <v>-1459</v>
      </c>
      <c r="H158" s="116"/>
      <c r="I158" s="107"/>
      <c r="J158" s="26">
        <f t="shared" si="93"/>
        <v>-1459</v>
      </c>
      <c r="K158" s="117"/>
      <c r="L158" s="117"/>
      <c r="M158" s="38">
        <f t="shared" si="94"/>
        <v>-1459</v>
      </c>
      <c r="N158" s="106"/>
      <c r="O158" s="107"/>
      <c r="P158" s="26">
        <f t="shared" si="95"/>
        <v>-1459</v>
      </c>
      <c r="Q158" s="117"/>
      <c r="R158" s="117"/>
      <c r="S158" s="38">
        <f t="shared" si="96"/>
        <v>-1459</v>
      </c>
      <c r="T158" s="106"/>
      <c r="U158" s="116"/>
      <c r="V158" s="20">
        <f t="shared" si="97"/>
        <v>-1459</v>
      </c>
      <c r="W158" s="143"/>
    </row>
    <row r="159" spans="1:23" ht="15.75" customHeight="1">
      <c r="A159" s="114"/>
      <c r="B159" s="106"/>
      <c r="C159" s="107"/>
      <c r="D159" s="20">
        <f t="shared" si="91"/>
        <v>-1459</v>
      </c>
      <c r="E159" s="118"/>
      <c r="F159" s="117"/>
      <c r="G159" s="19">
        <f t="shared" si="92"/>
        <v>-1459</v>
      </c>
      <c r="H159" s="116"/>
      <c r="I159" s="107"/>
      <c r="J159" s="26">
        <f t="shared" si="93"/>
        <v>-1459</v>
      </c>
      <c r="K159" s="117"/>
      <c r="L159" s="117"/>
      <c r="M159" s="38">
        <f t="shared" si="94"/>
        <v>-1459</v>
      </c>
      <c r="N159" s="106"/>
      <c r="O159" s="107"/>
      <c r="P159" s="26">
        <f t="shared" si="95"/>
        <v>-1459</v>
      </c>
      <c r="Q159" s="117"/>
      <c r="R159" s="117"/>
      <c r="S159" s="38">
        <f t="shared" si="96"/>
        <v>-1459</v>
      </c>
      <c r="T159" s="106"/>
      <c r="U159" s="116"/>
      <c r="V159" s="20">
        <f t="shared" si="97"/>
        <v>-1459</v>
      </c>
      <c r="W159" s="143"/>
    </row>
    <row r="160" spans="1:23" ht="15.75" customHeight="1">
      <c r="A160" s="114"/>
      <c r="B160" s="122"/>
      <c r="C160" s="123"/>
      <c r="D160" s="20">
        <f t="shared" si="91"/>
        <v>-1459</v>
      </c>
      <c r="E160" s="118"/>
      <c r="F160" s="117"/>
      <c r="G160" s="19">
        <f t="shared" si="92"/>
        <v>-1459</v>
      </c>
      <c r="H160" s="124"/>
      <c r="I160" s="123"/>
      <c r="J160" s="26">
        <f t="shared" si="93"/>
        <v>-1459</v>
      </c>
      <c r="K160" s="117"/>
      <c r="L160" s="117"/>
      <c r="M160" s="38">
        <f t="shared" si="94"/>
        <v>-1459</v>
      </c>
      <c r="N160" s="106"/>
      <c r="O160" s="107"/>
      <c r="P160" s="26">
        <f t="shared" si="95"/>
        <v>-1459</v>
      </c>
      <c r="Q160" s="117"/>
      <c r="R160" s="117"/>
      <c r="S160" s="38">
        <f t="shared" si="96"/>
        <v>-1459</v>
      </c>
      <c r="T160" s="106"/>
      <c r="U160" s="116"/>
      <c r="V160" s="20">
        <f t="shared" si="97"/>
        <v>-1459</v>
      </c>
      <c r="W160" s="143"/>
    </row>
    <row r="161" spans="1:23" ht="15.75" customHeight="1">
      <c r="A161" s="114"/>
      <c r="B161" s="122"/>
      <c r="C161" s="123"/>
      <c r="D161" s="20">
        <f t="shared" si="91"/>
        <v>-1459</v>
      </c>
      <c r="E161" s="118"/>
      <c r="F161" s="117"/>
      <c r="G161" s="19">
        <f t="shared" si="92"/>
        <v>-1459</v>
      </c>
      <c r="H161" s="124"/>
      <c r="I161" s="123"/>
      <c r="J161" s="26">
        <f t="shared" si="93"/>
        <v>-1459</v>
      </c>
      <c r="K161" s="118"/>
      <c r="L161" s="117"/>
      <c r="M161" s="38">
        <f t="shared" si="94"/>
        <v>-1459</v>
      </c>
      <c r="N161" s="106"/>
      <c r="O161" s="107"/>
      <c r="P161" s="26">
        <f t="shared" si="95"/>
        <v>-1459</v>
      </c>
      <c r="Q161" s="117"/>
      <c r="R161" s="117"/>
      <c r="S161" s="38">
        <f t="shared" si="96"/>
        <v>-1459</v>
      </c>
      <c r="T161" s="122"/>
      <c r="U161" s="124"/>
      <c r="V161" s="20">
        <f t="shared" si="97"/>
        <v>-1459</v>
      </c>
      <c r="W161" s="143"/>
    </row>
    <row r="162" spans="1:23" ht="15.75" customHeight="1">
      <c r="A162" s="114"/>
      <c r="B162" s="122"/>
      <c r="C162" s="123"/>
      <c r="D162" s="49">
        <f t="shared" si="91"/>
        <v>-1459</v>
      </c>
      <c r="E162" s="154"/>
      <c r="F162" s="128"/>
      <c r="G162" s="29">
        <f t="shared" si="92"/>
        <v>-1459</v>
      </c>
      <c r="H162" s="124"/>
      <c r="I162" s="123"/>
      <c r="J162" s="39">
        <f t="shared" si="93"/>
        <v>-1459</v>
      </c>
      <c r="K162" s="140"/>
      <c r="L162" s="128"/>
      <c r="M162" s="40">
        <f t="shared" si="94"/>
        <v>-1459</v>
      </c>
      <c r="N162" s="122"/>
      <c r="O162" s="123"/>
      <c r="P162" s="39">
        <f t="shared" si="95"/>
        <v>-1459</v>
      </c>
      <c r="Q162" s="128"/>
      <c r="R162" s="128"/>
      <c r="S162" s="40">
        <f t="shared" si="96"/>
        <v>-1459</v>
      </c>
      <c r="T162" s="122"/>
      <c r="U162" s="123"/>
      <c r="V162" s="49">
        <f t="shared" si="97"/>
        <v>-1459</v>
      </c>
      <c r="W162" s="143"/>
    </row>
    <row r="163" spans="1:23" ht="15.75" customHeight="1">
      <c r="A163" s="87"/>
      <c r="B163" s="77">
        <f ca="1">IFERROR(__xludf.DUMMYFUNCTION("DATE(VALUE(LEFT($B$2,4)),VALUE(MID($B$2,6,2)),VALUE(RIGHT($B$2,2)))
+ (VALUE(REGEXEXTRACT(INDIRECT(""A""&amp;ROW()+1),""\d+""))-1)*7
+ INT((COLUMN()-COLUMN($B163))/3)
"),47216)</f>
        <v>47216</v>
      </c>
      <c r="C163" s="81"/>
      <c r="D163" s="82"/>
      <c r="E163" s="77">
        <f ca="1">IFERROR(__xludf.DUMMYFUNCTION("DATE(VALUE(LEFT($B$2,4)),VALUE(MID($B$2,6,2)),VALUE(RIGHT($B$2,2)))
+ (VALUE(REGEXEXTRACT(INDIRECT(""A""&amp;ROW()+1),""\d+""))-1)*7
+ INT((COLUMN()-COLUMN($B163))/3)
"),47217)</f>
        <v>47217</v>
      </c>
      <c r="F163" s="81"/>
      <c r="G163" s="82"/>
      <c r="H163" s="77">
        <f ca="1">IFERROR(__xludf.DUMMYFUNCTION("DATE(VALUE(LEFT($B$2,4)),VALUE(MID($B$2,6,2)),VALUE(RIGHT($B$2,2)))
+ (VALUE(REGEXEXTRACT(INDIRECT(""A""&amp;ROW()+1),""\d+""))-1)*7
+ INT((COLUMN()-COLUMN($B163))/3)
"),47218)</f>
        <v>47218</v>
      </c>
      <c r="I163" s="81"/>
      <c r="J163" s="82"/>
      <c r="K163" s="77">
        <f ca="1">IFERROR(__xludf.DUMMYFUNCTION("DATE(VALUE(LEFT($B$2,4)),VALUE(MID($B$2,6,2)),VALUE(RIGHT($B$2,2)))
+ (VALUE(REGEXEXTRACT(INDIRECT(""A""&amp;ROW()+1),""\d+""))-1)*7
+ INT((COLUMN()-COLUMN($B163))/3)
"),47219)</f>
        <v>47219</v>
      </c>
      <c r="L163" s="81"/>
      <c r="M163" s="82"/>
      <c r="N163" s="77">
        <f ca="1">IFERROR(__xludf.DUMMYFUNCTION("DATE(VALUE(LEFT($B$2,4)),VALUE(MID($B$2,6,2)),VALUE(RIGHT($B$2,2)))
+ (VALUE(REGEXEXTRACT(INDIRECT(""A""&amp;ROW()+1),""\d+""))-1)*7
+ INT((COLUMN()-COLUMN($B163))/3)
"),47220)</f>
        <v>47220</v>
      </c>
      <c r="O163" s="81"/>
      <c r="P163" s="82"/>
      <c r="Q163" s="77">
        <f ca="1">IFERROR(__xludf.DUMMYFUNCTION("DATE(VALUE(LEFT($B$2,4)),VALUE(MID($B$2,6,2)),VALUE(RIGHT($B$2,2)))
+ (VALUE(REGEXEXTRACT(INDIRECT(""A""&amp;ROW()+1),""\d+""))-1)*7
+ INT((COLUMN()-COLUMN($B163))/3)
"),47221)</f>
        <v>47221</v>
      </c>
      <c r="R163" s="81"/>
      <c r="S163" s="82"/>
      <c r="T163" s="77">
        <f ca="1">IFERROR(__xludf.DUMMYFUNCTION("DATE(VALUE(LEFT($B$2,4)),VALUE(MID($B$2,6,2)),VALUE(RIGHT($B$2,2)))
+ (VALUE(REGEXEXTRACT(INDIRECT(""A""&amp;ROW()+1),""\d+""))-1)*7
+ INT((COLUMN()-COLUMN($B163))/3)
"),47222)</f>
        <v>47222</v>
      </c>
      <c r="U163" s="81"/>
      <c r="V163" s="82"/>
      <c r="W163" s="52" t="s">
        <v>20</v>
      </c>
    </row>
    <row r="164" spans="1:23" ht="15.75" customHeight="1">
      <c r="A164" s="47" t="s">
        <v>150</v>
      </c>
      <c r="B164" s="109"/>
      <c r="C164" s="109"/>
      <c r="D164" s="50">
        <f>V162+C164</f>
        <v>-1459</v>
      </c>
      <c r="E164" s="112"/>
      <c r="F164" s="111"/>
      <c r="G164" s="17">
        <f>D174+F164</f>
        <v>-1459</v>
      </c>
      <c r="H164" s="132"/>
      <c r="I164" s="109"/>
      <c r="J164" s="42">
        <f>G174+I164</f>
        <v>-1459</v>
      </c>
      <c r="K164" s="110"/>
      <c r="L164" s="111"/>
      <c r="M164" s="18">
        <f>J174+L164</f>
        <v>-1459</v>
      </c>
      <c r="N164" s="113"/>
      <c r="O164" s="109"/>
      <c r="P164" s="35">
        <f>M174+O164</f>
        <v>-1459</v>
      </c>
      <c r="Q164" s="112"/>
      <c r="R164" s="111"/>
      <c r="S164" s="18">
        <f>P174+R164</f>
        <v>-1459</v>
      </c>
      <c r="T164" s="113"/>
      <c r="U164" s="109"/>
      <c r="V164" s="50">
        <f>S174+U164</f>
        <v>-1459</v>
      </c>
      <c r="W164" s="172"/>
    </row>
    <row r="165" spans="1:23" ht="15.75" customHeight="1">
      <c r="A165" s="114"/>
      <c r="B165" s="117"/>
      <c r="C165" s="117"/>
      <c r="D165" s="45">
        <f t="shared" ref="D165:D174" si="98">D164+C165</f>
        <v>-1459</v>
      </c>
      <c r="E165" s="106"/>
      <c r="F165" s="107"/>
      <c r="G165" s="26">
        <f t="shared" ref="G165:G174" si="99">G164+F165</f>
        <v>-1459</v>
      </c>
      <c r="H165" s="117"/>
      <c r="I165" s="117"/>
      <c r="J165" s="19">
        <f t="shared" ref="J165:J174" si="100">J164+I165</f>
        <v>-1459</v>
      </c>
      <c r="K165" s="106"/>
      <c r="L165" s="107"/>
      <c r="M165" s="26">
        <f t="shared" ref="M165:M174" si="101">M164+L165</f>
        <v>-1459</v>
      </c>
      <c r="N165" s="118"/>
      <c r="O165" s="117"/>
      <c r="P165" s="38">
        <f t="shared" ref="P165:P174" si="102">P164+O165</f>
        <v>-1459</v>
      </c>
      <c r="Q165" s="106"/>
      <c r="R165" s="107"/>
      <c r="S165" s="26">
        <f t="shared" ref="S165:S174" si="103">S164+R165</f>
        <v>-1459</v>
      </c>
      <c r="T165" s="136"/>
      <c r="U165" s="136"/>
      <c r="V165" s="45">
        <f t="shared" ref="V165:V174" si="104">V164+U165</f>
        <v>-1459</v>
      </c>
      <c r="W165" s="143"/>
    </row>
    <row r="166" spans="1:23" ht="15.75" customHeight="1">
      <c r="A166" s="114"/>
      <c r="B166" s="117"/>
      <c r="C166" s="117"/>
      <c r="D166" s="45">
        <f t="shared" si="98"/>
        <v>-1459</v>
      </c>
      <c r="E166" s="106"/>
      <c r="F166" s="107"/>
      <c r="G166" s="26">
        <f t="shared" si="99"/>
        <v>-1459</v>
      </c>
      <c r="H166" s="117"/>
      <c r="I166" s="117"/>
      <c r="J166" s="19">
        <f t="shared" si="100"/>
        <v>-1459</v>
      </c>
      <c r="K166" s="106"/>
      <c r="L166" s="107"/>
      <c r="M166" s="26">
        <f t="shared" si="101"/>
        <v>-1459</v>
      </c>
      <c r="N166" s="118"/>
      <c r="O166" s="117"/>
      <c r="P166" s="38">
        <f t="shared" si="102"/>
        <v>-1459</v>
      </c>
      <c r="Q166" s="106"/>
      <c r="R166" s="107"/>
      <c r="S166" s="26">
        <f t="shared" si="103"/>
        <v>-1459</v>
      </c>
      <c r="T166" s="136"/>
      <c r="U166" s="136"/>
      <c r="V166" s="45">
        <f t="shared" si="104"/>
        <v>-1459</v>
      </c>
      <c r="W166" s="143"/>
    </row>
    <row r="167" spans="1:23" ht="15.75" customHeight="1">
      <c r="A167" s="114"/>
      <c r="B167" s="117"/>
      <c r="C167" s="117"/>
      <c r="D167" s="45">
        <f t="shared" si="98"/>
        <v>-1459</v>
      </c>
      <c r="E167" s="106"/>
      <c r="F167" s="107"/>
      <c r="G167" s="26">
        <f t="shared" si="99"/>
        <v>-1459</v>
      </c>
      <c r="H167" s="117"/>
      <c r="I167" s="117"/>
      <c r="J167" s="19">
        <f t="shared" si="100"/>
        <v>-1459</v>
      </c>
      <c r="K167" s="106"/>
      <c r="L167" s="107"/>
      <c r="M167" s="26">
        <f t="shared" si="101"/>
        <v>-1459</v>
      </c>
      <c r="N167" s="118"/>
      <c r="O167" s="117"/>
      <c r="P167" s="38">
        <f t="shared" si="102"/>
        <v>-1459</v>
      </c>
      <c r="Q167" s="106"/>
      <c r="R167" s="107"/>
      <c r="S167" s="26">
        <f t="shared" si="103"/>
        <v>-1459</v>
      </c>
      <c r="T167" s="136"/>
      <c r="U167" s="136"/>
      <c r="V167" s="45">
        <f t="shared" si="104"/>
        <v>-1459</v>
      </c>
      <c r="W167" s="143"/>
    </row>
    <row r="168" spans="1:23" ht="15.75" customHeight="1">
      <c r="A168" s="114"/>
      <c r="B168" s="117"/>
      <c r="C168" s="117"/>
      <c r="D168" s="45">
        <f t="shared" si="98"/>
        <v>-1459</v>
      </c>
      <c r="E168" s="106"/>
      <c r="F168" s="107"/>
      <c r="G168" s="26">
        <f t="shared" si="99"/>
        <v>-1459</v>
      </c>
      <c r="H168" s="133"/>
      <c r="I168" s="117"/>
      <c r="J168" s="19">
        <f t="shared" si="100"/>
        <v>-1459</v>
      </c>
      <c r="K168" s="106"/>
      <c r="L168" s="107"/>
      <c r="M168" s="26">
        <f t="shared" si="101"/>
        <v>-1459</v>
      </c>
      <c r="N168" s="118"/>
      <c r="O168" s="117"/>
      <c r="P168" s="38">
        <f t="shared" si="102"/>
        <v>-1459</v>
      </c>
      <c r="Q168" s="106"/>
      <c r="R168" s="107"/>
      <c r="S168" s="26">
        <f t="shared" si="103"/>
        <v>-1459</v>
      </c>
      <c r="T168" s="136"/>
      <c r="U168" s="136"/>
      <c r="V168" s="45">
        <f t="shared" si="104"/>
        <v>-1459</v>
      </c>
      <c r="W168" s="143"/>
    </row>
    <row r="169" spans="1:23" ht="15.75" customHeight="1">
      <c r="A169" s="114"/>
      <c r="B169" s="117"/>
      <c r="C169" s="117"/>
      <c r="D169" s="45">
        <f t="shared" si="98"/>
        <v>-1459</v>
      </c>
      <c r="E169" s="106"/>
      <c r="F169" s="107"/>
      <c r="G169" s="26">
        <f t="shared" si="99"/>
        <v>-1459</v>
      </c>
      <c r="H169" s="133"/>
      <c r="I169" s="117"/>
      <c r="J169" s="19">
        <f t="shared" si="100"/>
        <v>-1459</v>
      </c>
      <c r="K169" s="106"/>
      <c r="L169" s="107"/>
      <c r="M169" s="26">
        <f t="shared" si="101"/>
        <v>-1459</v>
      </c>
      <c r="N169" s="118"/>
      <c r="O169" s="117"/>
      <c r="P169" s="38">
        <f t="shared" si="102"/>
        <v>-1459</v>
      </c>
      <c r="Q169" s="106"/>
      <c r="R169" s="107"/>
      <c r="S169" s="26">
        <f t="shared" si="103"/>
        <v>-1459</v>
      </c>
      <c r="T169" s="136"/>
      <c r="U169" s="136"/>
      <c r="V169" s="45">
        <f t="shared" si="104"/>
        <v>-1459</v>
      </c>
      <c r="W169" s="143"/>
    </row>
    <row r="170" spans="1:23" ht="15.75" customHeight="1">
      <c r="A170" s="114"/>
      <c r="B170" s="117"/>
      <c r="C170" s="117"/>
      <c r="D170" s="45">
        <f t="shared" si="98"/>
        <v>-1459</v>
      </c>
      <c r="E170" s="106"/>
      <c r="F170" s="107"/>
      <c r="G170" s="26">
        <f t="shared" si="99"/>
        <v>-1459</v>
      </c>
      <c r="H170" s="133"/>
      <c r="I170" s="117"/>
      <c r="J170" s="19">
        <f t="shared" si="100"/>
        <v>-1459</v>
      </c>
      <c r="K170" s="116"/>
      <c r="L170" s="107"/>
      <c r="M170" s="26">
        <f t="shared" si="101"/>
        <v>-1459</v>
      </c>
      <c r="N170" s="133"/>
      <c r="O170" s="117"/>
      <c r="P170" s="38">
        <f t="shared" si="102"/>
        <v>-1459</v>
      </c>
      <c r="Q170" s="106"/>
      <c r="R170" s="107"/>
      <c r="S170" s="26">
        <f t="shared" si="103"/>
        <v>-1459</v>
      </c>
      <c r="T170" s="136"/>
      <c r="U170" s="136"/>
      <c r="V170" s="45">
        <f t="shared" si="104"/>
        <v>-1459</v>
      </c>
      <c r="W170" s="143"/>
    </row>
    <row r="171" spans="1:23" ht="15.75" customHeight="1">
      <c r="A171" s="114"/>
      <c r="B171" s="117"/>
      <c r="C171" s="117"/>
      <c r="D171" s="45">
        <f t="shared" si="98"/>
        <v>-1459</v>
      </c>
      <c r="E171" s="106"/>
      <c r="F171" s="107"/>
      <c r="G171" s="26">
        <f t="shared" si="99"/>
        <v>-1459</v>
      </c>
      <c r="H171" s="133"/>
      <c r="I171" s="117"/>
      <c r="J171" s="19">
        <f t="shared" si="100"/>
        <v>-1459</v>
      </c>
      <c r="K171" s="116"/>
      <c r="L171" s="107"/>
      <c r="M171" s="26">
        <f t="shared" si="101"/>
        <v>-1459</v>
      </c>
      <c r="N171" s="133"/>
      <c r="O171" s="117"/>
      <c r="P171" s="38">
        <f t="shared" si="102"/>
        <v>-1459</v>
      </c>
      <c r="Q171" s="106"/>
      <c r="R171" s="107"/>
      <c r="S171" s="26">
        <f t="shared" si="103"/>
        <v>-1459</v>
      </c>
      <c r="T171" s="136"/>
      <c r="U171" s="136"/>
      <c r="V171" s="45">
        <f t="shared" si="104"/>
        <v>-1459</v>
      </c>
      <c r="W171" s="143"/>
    </row>
    <row r="172" spans="1:23" ht="15.75" customHeight="1">
      <c r="A172" s="114"/>
      <c r="B172" s="117"/>
      <c r="C172" s="117"/>
      <c r="D172" s="45">
        <f t="shared" si="98"/>
        <v>-1459</v>
      </c>
      <c r="E172" s="106"/>
      <c r="F172" s="107"/>
      <c r="G172" s="26">
        <f t="shared" si="99"/>
        <v>-1459</v>
      </c>
      <c r="H172" s="133"/>
      <c r="I172" s="117"/>
      <c r="J172" s="19">
        <f t="shared" si="100"/>
        <v>-1459</v>
      </c>
      <c r="K172" s="116"/>
      <c r="L172" s="107"/>
      <c r="M172" s="26">
        <f t="shared" si="101"/>
        <v>-1459</v>
      </c>
      <c r="N172" s="117"/>
      <c r="O172" s="117"/>
      <c r="P172" s="38">
        <f t="shared" si="102"/>
        <v>-1459</v>
      </c>
      <c r="Q172" s="106"/>
      <c r="R172" s="107"/>
      <c r="S172" s="26">
        <f t="shared" si="103"/>
        <v>-1459</v>
      </c>
      <c r="T172" s="136"/>
      <c r="U172" s="136"/>
      <c r="V172" s="45">
        <f t="shared" si="104"/>
        <v>-1459</v>
      </c>
      <c r="W172" s="143"/>
    </row>
    <row r="173" spans="1:23" ht="15.75" customHeight="1">
      <c r="A173" s="114"/>
      <c r="B173" s="117"/>
      <c r="C173" s="117"/>
      <c r="D173" s="45">
        <f t="shared" si="98"/>
        <v>-1459</v>
      </c>
      <c r="E173" s="122"/>
      <c r="F173" s="123"/>
      <c r="G173" s="26">
        <f t="shared" si="99"/>
        <v>-1459</v>
      </c>
      <c r="H173" s="133"/>
      <c r="I173" s="117"/>
      <c r="J173" s="19">
        <f t="shared" si="100"/>
        <v>-1459</v>
      </c>
      <c r="K173" s="124"/>
      <c r="L173" s="123"/>
      <c r="M173" s="26">
        <f t="shared" si="101"/>
        <v>-1459</v>
      </c>
      <c r="N173" s="117"/>
      <c r="O173" s="117"/>
      <c r="P173" s="38">
        <f t="shared" si="102"/>
        <v>-1459</v>
      </c>
      <c r="Q173" s="106"/>
      <c r="R173" s="107"/>
      <c r="S173" s="26">
        <f t="shared" si="103"/>
        <v>-1459</v>
      </c>
      <c r="T173" s="136"/>
      <c r="U173" s="136"/>
      <c r="V173" s="45">
        <f t="shared" si="104"/>
        <v>-1459</v>
      </c>
      <c r="W173" s="143"/>
    </row>
    <row r="174" spans="1:23" ht="15.75" customHeight="1">
      <c r="A174" s="114"/>
      <c r="B174" s="128"/>
      <c r="C174" s="128"/>
      <c r="D174" s="46">
        <f t="shared" si="98"/>
        <v>-1459</v>
      </c>
      <c r="E174" s="166"/>
      <c r="F174" s="167"/>
      <c r="G174" s="53">
        <f t="shared" si="99"/>
        <v>-1459</v>
      </c>
      <c r="H174" s="174"/>
      <c r="I174" s="175"/>
      <c r="J174" s="55">
        <f t="shared" si="100"/>
        <v>-1459</v>
      </c>
      <c r="K174" s="124"/>
      <c r="L174" s="123"/>
      <c r="M174" s="39">
        <f t="shared" si="101"/>
        <v>-1459</v>
      </c>
      <c r="N174" s="128"/>
      <c r="O174" s="128"/>
      <c r="P174" s="40">
        <f t="shared" si="102"/>
        <v>-1459</v>
      </c>
      <c r="Q174" s="122"/>
      <c r="R174" s="123"/>
      <c r="S174" s="39">
        <f t="shared" si="103"/>
        <v>-1459</v>
      </c>
      <c r="T174" s="141"/>
      <c r="U174" s="141"/>
      <c r="V174" s="46">
        <f t="shared" si="104"/>
        <v>-1459</v>
      </c>
      <c r="W174" s="143"/>
    </row>
    <row r="175" spans="1:23" ht="15.75" customHeight="1">
      <c r="A175" s="87"/>
      <c r="B175" s="77">
        <f ca="1">IFERROR(__xludf.DUMMYFUNCTION("DATE(VALUE(LEFT($B$2,4)),VALUE(MID($B$2,6,2)),VALUE(RIGHT($B$2,2)))
+ (VALUE(REGEXEXTRACT(INDIRECT(""A""&amp;ROW()+1),""\d+""))-1)*7
+ INT((COLUMN()-COLUMN($B175))/3)
"),47223)</f>
        <v>47223</v>
      </c>
      <c r="C175" s="81"/>
      <c r="D175" s="82"/>
      <c r="E175" s="77">
        <f ca="1">IFERROR(__xludf.DUMMYFUNCTION("DATE(VALUE(LEFT($B$2,4)),VALUE(MID($B$2,6,2)),VALUE(RIGHT($B$2,2)))
+ (VALUE(REGEXEXTRACT(INDIRECT(""A""&amp;ROW()+1),""\d+""))-1)*7
+ INT((COLUMN()-COLUMN($B175))/3)
"),47224)</f>
        <v>47224</v>
      </c>
      <c r="F175" s="81"/>
      <c r="G175" s="82"/>
      <c r="H175" s="77">
        <f ca="1">IFERROR(__xludf.DUMMYFUNCTION("DATE(VALUE(LEFT($B$2,4)),VALUE(MID($B$2,6,2)),VALUE(RIGHT($B$2,2)))
+ (VALUE(REGEXEXTRACT(INDIRECT(""A""&amp;ROW()+1),""\d+""))-1)*7
+ INT((COLUMN()-COLUMN($B175))/3)
"),47225)</f>
        <v>47225</v>
      </c>
      <c r="I175" s="81"/>
      <c r="J175" s="82"/>
      <c r="K175" s="77">
        <f ca="1">IFERROR(__xludf.DUMMYFUNCTION("DATE(VALUE(LEFT($B$2,4)),VALUE(MID($B$2,6,2)),VALUE(RIGHT($B$2,2)))
+ (VALUE(REGEXEXTRACT(INDIRECT(""A""&amp;ROW()+1),""\d+""))-1)*7
+ INT((COLUMN()-COLUMN($B175))/3)
"),47226)</f>
        <v>47226</v>
      </c>
      <c r="L175" s="81"/>
      <c r="M175" s="82"/>
      <c r="N175" s="77">
        <f ca="1">IFERROR(__xludf.DUMMYFUNCTION("DATE(VALUE(LEFT($B$2,4)),VALUE(MID($B$2,6,2)),VALUE(RIGHT($B$2,2)))
+ (VALUE(REGEXEXTRACT(INDIRECT(""A""&amp;ROW()+1),""\d+""))-1)*7
+ INT((COLUMN()-COLUMN($B175))/3)
"),47227)</f>
        <v>47227</v>
      </c>
      <c r="O175" s="81"/>
      <c r="P175" s="82"/>
      <c r="Q175" s="77">
        <f ca="1">IFERROR(__xludf.DUMMYFUNCTION("DATE(VALUE(LEFT($B$2,4)),VALUE(MID($B$2,6,2)),VALUE(RIGHT($B$2,2)))
+ (VALUE(REGEXEXTRACT(INDIRECT(""A""&amp;ROW()+1),""\d+""))-1)*7
+ INT((COLUMN()-COLUMN($B175))/3)
"),47228)</f>
        <v>47228</v>
      </c>
      <c r="R175" s="81"/>
      <c r="S175" s="82"/>
      <c r="T175" s="77">
        <f ca="1">IFERROR(__xludf.DUMMYFUNCTION("DATE(VALUE(LEFT($B$2,4)),VALUE(MID($B$2,6,2)),VALUE(RIGHT($B$2,2)))
+ (VALUE(REGEXEXTRACT(INDIRECT(""A""&amp;ROW()+1),""\d+""))-1)*7
+ INT((COLUMN()-COLUMN($B175))/3)
"),47229)</f>
        <v>47229</v>
      </c>
      <c r="U175" s="81"/>
      <c r="V175" s="82"/>
      <c r="W175" s="143"/>
    </row>
    <row r="176" spans="1:23" ht="15.75" customHeight="1">
      <c r="A176" s="51" t="s">
        <v>151</v>
      </c>
      <c r="B176" s="112"/>
      <c r="C176" s="111"/>
      <c r="D176" s="17">
        <f>V174+C176</f>
        <v>-1459</v>
      </c>
      <c r="E176" s="109"/>
      <c r="F176" s="109"/>
      <c r="G176" s="42">
        <f>D186+F176</f>
        <v>-1459</v>
      </c>
      <c r="H176" s="112"/>
      <c r="I176" s="111"/>
      <c r="J176" s="17">
        <f>G186+I176</f>
        <v>-1459</v>
      </c>
      <c r="K176" s="109"/>
      <c r="L176" s="109"/>
      <c r="M176" s="35">
        <f>J186+L176</f>
        <v>-1459</v>
      </c>
      <c r="N176" s="112"/>
      <c r="O176" s="111"/>
      <c r="P176" s="17">
        <f>M186+O176</f>
        <v>-1459</v>
      </c>
      <c r="Q176" s="109"/>
      <c r="R176" s="109"/>
      <c r="S176" s="35">
        <f>P186+R176</f>
        <v>-1459</v>
      </c>
      <c r="T176" s="112"/>
      <c r="U176" s="111"/>
      <c r="V176" s="48">
        <f>S186+U176</f>
        <v>-1459</v>
      </c>
      <c r="W176" s="143"/>
    </row>
    <row r="177" spans="1:23" ht="15.75" customHeight="1">
      <c r="A177" s="114"/>
      <c r="B177" s="106"/>
      <c r="C177" s="107"/>
      <c r="D177" s="26">
        <f t="shared" ref="D177:D186" si="105">D176+C177</f>
        <v>-1459</v>
      </c>
      <c r="E177" s="117"/>
      <c r="F177" s="117"/>
      <c r="G177" s="19">
        <f t="shared" ref="G177:G186" si="106">G176+F177</f>
        <v>-1459</v>
      </c>
      <c r="H177" s="106"/>
      <c r="I177" s="107"/>
      <c r="J177" s="26">
        <f t="shared" ref="J177:J186" si="107">J176+I177</f>
        <v>-1459</v>
      </c>
      <c r="K177" s="117"/>
      <c r="L177" s="117"/>
      <c r="M177" s="38">
        <f t="shared" ref="M177:M186" si="108">M176+L177</f>
        <v>-1459</v>
      </c>
      <c r="N177" s="106"/>
      <c r="O177" s="107"/>
      <c r="P177" s="26">
        <f t="shared" ref="P177:P186" si="109">P176+O177</f>
        <v>-1459</v>
      </c>
      <c r="Q177" s="117"/>
      <c r="R177" s="117"/>
      <c r="S177" s="38">
        <f t="shared" ref="S177:S186" si="110">S176+R177</f>
        <v>-1459</v>
      </c>
      <c r="T177" s="106"/>
      <c r="U177" s="107"/>
      <c r="V177" s="20">
        <f t="shared" ref="V177:V186" si="111">V176+U177</f>
        <v>-1459</v>
      </c>
      <c r="W177" s="143"/>
    </row>
    <row r="178" spans="1:23" ht="15.75" customHeight="1">
      <c r="A178" s="114"/>
      <c r="B178" s="106"/>
      <c r="C178" s="107"/>
      <c r="D178" s="26">
        <f t="shared" si="105"/>
        <v>-1459</v>
      </c>
      <c r="E178" s="117"/>
      <c r="F178" s="117"/>
      <c r="G178" s="19">
        <f t="shared" si="106"/>
        <v>-1459</v>
      </c>
      <c r="H178" s="106"/>
      <c r="I178" s="107"/>
      <c r="J178" s="26">
        <f t="shared" si="107"/>
        <v>-1459</v>
      </c>
      <c r="K178" s="117"/>
      <c r="L178" s="117"/>
      <c r="M178" s="38">
        <f t="shared" si="108"/>
        <v>-1459</v>
      </c>
      <c r="N178" s="106"/>
      <c r="O178" s="107"/>
      <c r="P178" s="26">
        <f t="shared" si="109"/>
        <v>-1459</v>
      </c>
      <c r="Q178" s="117"/>
      <c r="R178" s="117"/>
      <c r="S178" s="38">
        <f t="shared" si="110"/>
        <v>-1459</v>
      </c>
      <c r="T178" s="106"/>
      <c r="U178" s="107"/>
      <c r="V178" s="20">
        <f t="shared" si="111"/>
        <v>-1459</v>
      </c>
      <c r="W178" s="143"/>
    </row>
    <row r="179" spans="1:23" ht="15.75" customHeight="1">
      <c r="A179" s="114"/>
      <c r="B179" s="106"/>
      <c r="C179" s="107"/>
      <c r="D179" s="26">
        <f t="shared" si="105"/>
        <v>-1459</v>
      </c>
      <c r="E179" s="117"/>
      <c r="F179" s="117"/>
      <c r="G179" s="19">
        <f t="shared" si="106"/>
        <v>-1459</v>
      </c>
      <c r="H179" s="106"/>
      <c r="I179" s="107"/>
      <c r="J179" s="26">
        <f t="shared" si="107"/>
        <v>-1459</v>
      </c>
      <c r="K179" s="117"/>
      <c r="L179" s="117"/>
      <c r="M179" s="38">
        <f t="shared" si="108"/>
        <v>-1459</v>
      </c>
      <c r="N179" s="106"/>
      <c r="O179" s="107"/>
      <c r="P179" s="26">
        <f t="shared" si="109"/>
        <v>-1459</v>
      </c>
      <c r="Q179" s="117"/>
      <c r="R179" s="117"/>
      <c r="S179" s="38">
        <f t="shared" si="110"/>
        <v>-1459</v>
      </c>
      <c r="T179" s="106"/>
      <c r="U179" s="107"/>
      <c r="V179" s="20">
        <f t="shared" si="111"/>
        <v>-1459</v>
      </c>
      <c r="W179" s="143"/>
    </row>
    <row r="180" spans="1:23" ht="15.75" customHeight="1">
      <c r="A180" s="114"/>
      <c r="B180" s="106"/>
      <c r="C180" s="107"/>
      <c r="D180" s="26">
        <f t="shared" si="105"/>
        <v>-1459</v>
      </c>
      <c r="E180" s="117"/>
      <c r="F180" s="117"/>
      <c r="G180" s="19">
        <f t="shared" si="106"/>
        <v>-1459</v>
      </c>
      <c r="H180" s="106"/>
      <c r="I180" s="107"/>
      <c r="J180" s="26">
        <f t="shared" si="107"/>
        <v>-1459</v>
      </c>
      <c r="K180" s="117"/>
      <c r="L180" s="117"/>
      <c r="M180" s="38">
        <f t="shared" si="108"/>
        <v>-1459</v>
      </c>
      <c r="N180" s="106"/>
      <c r="O180" s="107"/>
      <c r="P180" s="26">
        <f t="shared" si="109"/>
        <v>-1459</v>
      </c>
      <c r="Q180" s="117"/>
      <c r="R180" s="117"/>
      <c r="S180" s="38">
        <f t="shared" si="110"/>
        <v>-1459</v>
      </c>
      <c r="T180" s="106"/>
      <c r="U180" s="107"/>
      <c r="V180" s="20">
        <f t="shared" si="111"/>
        <v>-1459</v>
      </c>
      <c r="W180" s="143"/>
    </row>
    <row r="181" spans="1:23" ht="15.75" customHeight="1">
      <c r="A181" s="114"/>
      <c r="B181" s="106"/>
      <c r="C181" s="107"/>
      <c r="D181" s="26">
        <f t="shared" si="105"/>
        <v>-1459</v>
      </c>
      <c r="E181" s="117"/>
      <c r="F181" s="117"/>
      <c r="G181" s="19">
        <f t="shared" si="106"/>
        <v>-1459</v>
      </c>
      <c r="H181" s="106"/>
      <c r="I181" s="107"/>
      <c r="J181" s="26">
        <f t="shared" si="107"/>
        <v>-1459</v>
      </c>
      <c r="K181" s="117"/>
      <c r="L181" s="117"/>
      <c r="M181" s="38">
        <f t="shared" si="108"/>
        <v>-1459</v>
      </c>
      <c r="N181" s="106"/>
      <c r="O181" s="107"/>
      <c r="P181" s="26">
        <f t="shared" si="109"/>
        <v>-1459</v>
      </c>
      <c r="Q181" s="117"/>
      <c r="R181" s="117"/>
      <c r="S181" s="38">
        <f t="shared" si="110"/>
        <v>-1459</v>
      </c>
      <c r="T181" s="106"/>
      <c r="U181" s="107"/>
      <c r="V181" s="20">
        <f t="shared" si="111"/>
        <v>-1459</v>
      </c>
      <c r="W181" s="143"/>
    </row>
    <row r="182" spans="1:23" ht="15.75" customHeight="1">
      <c r="A182" s="114"/>
      <c r="B182" s="106"/>
      <c r="C182" s="107"/>
      <c r="D182" s="26">
        <f t="shared" si="105"/>
        <v>-1459</v>
      </c>
      <c r="E182" s="117"/>
      <c r="F182" s="117"/>
      <c r="G182" s="19">
        <f t="shared" si="106"/>
        <v>-1459</v>
      </c>
      <c r="H182" s="106"/>
      <c r="I182" s="107"/>
      <c r="J182" s="26">
        <f t="shared" si="107"/>
        <v>-1459</v>
      </c>
      <c r="K182" s="117"/>
      <c r="L182" s="117"/>
      <c r="M182" s="38">
        <f t="shared" si="108"/>
        <v>-1459</v>
      </c>
      <c r="N182" s="106"/>
      <c r="O182" s="107"/>
      <c r="P182" s="26">
        <f t="shared" si="109"/>
        <v>-1459</v>
      </c>
      <c r="Q182" s="117"/>
      <c r="R182" s="117"/>
      <c r="S182" s="38">
        <f t="shared" si="110"/>
        <v>-1459</v>
      </c>
      <c r="T182" s="106"/>
      <c r="U182" s="107"/>
      <c r="V182" s="20">
        <f t="shared" si="111"/>
        <v>-1459</v>
      </c>
      <c r="W182" s="143"/>
    </row>
    <row r="183" spans="1:23" ht="15.75" customHeight="1">
      <c r="A183" s="114"/>
      <c r="B183" s="106"/>
      <c r="C183" s="107"/>
      <c r="D183" s="26">
        <f t="shared" si="105"/>
        <v>-1459</v>
      </c>
      <c r="E183" s="117"/>
      <c r="F183" s="117"/>
      <c r="G183" s="19">
        <f t="shared" si="106"/>
        <v>-1459</v>
      </c>
      <c r="H183" s="106"/>
      <c r="I183" s="107"/>
      <c r="J183" s="26">
        <f t="shared" si="107"/>
        <v>-1459</v>
      </c>
      <c r="K183" s="117"/>
      <c r="L183" s="117"/>
      <c r="M183" s="38">
        <f t="shared" si="108"/>
        <v>-1459</v>
      </c>
      <c r="N183" s="106"/>
      <c r="O183" s="107"/>
      <c r="P183" s="26">
        <f t="shared" si="109"/>
        <v>-1459</v>
      </c>
      <c r="Q183" s="117"/>
      <c r="R183" s="117"/>
      <c r="S183" s="38">
        <f t="shared" si="110"/>
        <v>-1459</v>
      </c>
      <c r="T183" s="106"/>
      <c r="U183" s="107"/>
      <c r="V183" s="20">
        <f t="shared" si="111"/>
        <v>-1459</v>
      </c>
      <c r="W183" s="143"/>
    </row>
    <row r="184" spans="1:23" ht="15.75" customHeight="1">
      <c r="A184" s="114"/>
      <c r="B184" s="106"/>
      <c r="C184" s="107"/>
      <c r="D184" s="26">
        <f t="shared" si="105"/>
        <v>-1459</v>
      </c>
      <c r="E184" s="117"/>
      <c r="F184" s="117"/>
      <c r="G184" s="19">
        <f t="shared" si="106"/>
        <v>-1459</v>
      </c>
      <c r="H184" s="122"/>
      <c r="I184" s="123"/>
      <c r="J184" s="26">
        <f t="shared" si="107"/>
        <v>-1459</v>
      </c>
      <c r="K184" s="117"/>
      <c r="L184" s="117"/>
      <c r="M184" s="38">
        <f t="shared" si="108"/>
        <v>-1459</v>
      </c>
      <c r="N184" s="122"/>
      <c r="O184" s="123"/>
      <c r="P184" s="26">
        <f t="shared" si="109"/>
        <v>-1459</v>
      </c>
      <c r="Q184" s="117"/>
      <c r="R184" s="117"/>
      <c r="S184" s="38">
        <f t="shared" si="110"/>
        <v>-1459</v>
      </c>
      <c r="T184" s="106"/>
      <c r="U184" s="107"/>
      <c r="V184" s="20">
        <f t="shared" si="111"/>
        <v>-1459</v>
      </c>
      <c r="W184" s="143"/>
    </row>
    <row r="185" spans="1:23" ht="15.75" customHeight="1">
      <c r="A185" s="114"/>
      <c r="B185" s="106"/>
      <c r="C185" s="107"/>
      <c r="D185" s="26">
        <f t="shared" si="105"/>
        <v>-1459</v>
      </c>
      <c r="E185" s="117"/>
      <c r="F185" s="117"/>
      <c r="G185" s="19">
        <f t="shared" si="106"/>
        <v>-1459</v>
      </c>
      <c r="H185" s="122"/>
      <c r="I185" s="123"/>
      <c r="J185" s="26">
        <f t="shared" si="107"/>
        <v>-1459</v>
      </c>
      <c r="K185" s="117"/>
      <c r="L185" s="117"/>
      <c r="M185" s="38">
        <f t="shared" si="108"/>
        <v>-1459</v>
      </c>
      <c r="N185" s="122"/>
      <c r="O185" s="123"/>
      <c r="P185" s="26">
        <f t="shared" si="109"/>
        <v>-1459</v>
      </c>
      <c r="Q185" s="117"/>
      <c r="R185" s="117"/>
      <c r="S185" s="38">
        <f t="shared" si="110"/>
        <v>-1459</v>
      </c>
      <c r="T185" s="122"/>
      <c r="U185" s="124"/>
      <c r="V185" s="20">
        <f t="shared" si="111"/>
        <v>-1459</v>
      </c>
      <c r="W185" s="143"/>
    </row>
    <row r="186" spans="1:23" ht="15.75" customHeight="1">
      <c r="A186" s="114"/>
      <c r="B186" s="122"/>
      <c r="C186" s="123"/>
      <c r="D186" s="39">
        <f t="shared" si="105"/>
        <v>-1459</v>
      </c>
      <c r="E186" s="128"/>
      <c r="F186" s="128"/>
      <c r="G186" s="29">
        <f t="shared" si="106"/>
        <v>-1459</v>
      </c>
      <c r="H186" s="122"/>
      <c r="I186" s="123"/>
      <c r="J186" s="39">
        <f t="shared" si="107"/>
        <v>-1459</v>
      </c>
      <c r="K186" s="128"/>
      <c r="L186" s="128"/>
      <c r="M186" s="40">
        <f t="shared" si="108"/>
        <v>-1459</v>
      </c>
      <c r="N186" s="122"/>
      <c r="O186" s="123"/>
      <c r="P186" s="39">
        <f t="shared" si="109"/>
        <v>-1459</v>
      </c>
      <c r="Q186" s="128"/>
      <c r="R186" s="128"/>
      <c r="S186" s="40">
        <f t="shared" si="110"/>
        <v>-1459</v>
      </c>
      <c r="T186" s="122"/>
      <c r="U186" s="123"/>
      <c r="V186" s="49">
        <f t="shared" si="111"/>
        <v>-1459</v>
      </c>
      <c r="W186" s="143"/>
    </row>
    <row r="187" spans="1:23" ht="15.75" customHeight="1">
      <c r="A187" s="87"/>
      <c r="B187" s="77">
        <f ca="1">IFERROR(__xludf.DUMMYFUNCTION("DATE(VALUE(LEFT($B$2,4)),VALUE(MID($B$2,6,2)),VALUE(RIGHT($B$2,2)))
+ (VALUE(REGEXEXTRACT(INDIRECT(""A""&amp;ROW()+1),""\d+""))-1)*7
+ INT((COLUMN()-COLUMN($B187))/3)
"),47230)</f>
        <v>47230</v>
      </c>
      <c r="C187" s="81"/>
      <c r="D187" s="82"/>
      <c r="E187" s="77">
        <f ca="1">IFERROR(__xludf.DUMMYFUNCTION("DATE(VALUE(LEFT($B$2,4)),VALUE(MID($B$2,6,2)),VALUE(RIGHT($B$2,2)))
+ (VALUE(REGEXEXTRACT(INDIRECT(""A""&amp;ROW()+1),""\d+""))-1)*7
+ INT((COLUMN()-COLUMN($B187))/3)
"),47231)</f>
        <v>47231</v>
      </c>
      <c r="F187" s="81"/>
      <c r="G187" s="82"/>
      <c r="H187" s="77">
        <f ca="1">IFERROR(__xludf.DUMMYFUNCTION("DATE(VALUE(LEFT($B$2,4)),VALUE(MID($B$2,6,2)),VALUE(RIGHT($B$2,2)))
+ (VALUE(REGEXEXTRACT(INDIRECT(""A""&amp;ROW()+1),""\d+""))-1)*7
+ INT((COLUMN()-COLUMN($B187))/3)
"),47232)</f>
        <v>47232</v>
      </c>
      <c r="I187" s="81"/>
      <c r="J187" s="82"/>
      <c r="K187" s="77">
        <f ca="1">IFERROR(__xludf.DUMMYFUNCTION("DATE(VALUE(LEFT($B$2,4)),VALUE(MID($B$2,6,2)),VALUE(RIGHT($B$2,2)))
+ (VALUE(REGEXEXTRACT(INDIRECT(""A""&amp;ROW()+1),""\d+""))-1)*7
+ INT((COLUMN()-COLUMN($B187))/3)
"),47233)</f>
        <v>47233</v>
      </c>
      <c r="L187" s="81"/>
      <c r="M187" s="82"/>
      <c r="N187" s="77">
        <f ca="1">IFERROR(__xludf.DUMMYFUNCTION("DATE(VALUE(LEFT($B$2,4)),VALUE(MID($B$2,6,2)),VALUE(RIGHT($B$2,2)))
+ (VALUE(REGEXEXTRACT(INDIRECT(""A""&amp;ROW()+1),""\d+""))-1)*7
+ INT((COLUMN()-COLUMN($B187))/3)
"),47234)</f>
        <v>47234</v>
      </c>
      <c r="O187" s="81"/>
      <c r="P187" s="82"/>
      <c r="Q187" s="77">
        <f ca="1">IFERROR(__xludf.DUMMYFUNCTION("DATE(VALUE(LEFT($B$2,4)),VALUE(MID($B$2,6,2)),VALUE(RIGHT($B$2,2)))
+ (VALUE(REGEXEXTRACT(INDIRECT(""A""&amp;ROW()+1),""\d+""))-1)*7
+ INT((COLUMN()-COLUMN($B187))/3)
"),47235)</f>
        <v>47235</v>
      </c>
      <c r="R187" s="81"/>
      <c r="S187" s="82"/>
      <c r="T187" s="77">
        <f ca="1">IFERROR(__xludf.DUMMYFUNCTION("DATE(VALUE(LEFT($B$2,4)),VALUE(MID($B$2,6,2)),VALUE(RIGHT($B$2,2)))
+ (VALUE(REGEXEXTRACT(INDIRECT(""A""&amp;ROW()+1),""\d+""))-1)*7
+ INT((COLUMN()-COLUMN($B187))/3)
"),47236)</f>
        <v>47236</v>
      </c>
      <c r="U187" s="81"/>
      <c r="V187" s="82"/>
      <c r="W187" s="52" t="s">
        <v>20</v>
      </c>
    </row>
    <row r="188" spans="1:23" ht="15.75" customHeight="1">
      <c r="A188" s="47" t="s">
        <v>152</v>
      </c>
      <c r="B188" s="113"/>
      <c r="C188" s="109"/>
      <c r="D188" s="42">
        <f>V186+C188</f>
        <v>-1459</v>
      </c>
      <c r="E188" s="112"/>
      <c r="F188" s="111"/>
      <c r="G188" s="36">
        <f>D198+F188</f>
        <v>-1459</v>
      </c>
      <c r="H188" s="132"/>
      <c r="I188" s="109"/>
      <c r="J188" s="42">
        <f>G198+I188</f>
        <v>-1459</v>
      </c>
      <c r="K188" s="112"/>
      <c r="L188" s="111"/>
      <c r="M188" s="18">
        <f>J198+L188</f>
        <v>-1459</v>
      </c>
      <c r="N188" s="113"/>
      <c r="O188" s="109"/>
      <c r="P188" s="35">
        <f>M198+O188</f>
        <v>-1459</v>
      </c>
      <c r="Q188" s="112"/>
      <c r="R188" s="111"/>
      <c r="S188" s="18">
        <f>P198+R188</f>
        <v>-1459</v>
      </c>
      <c r="T188" s="113"/>
      <c r="U188" s="109"/>
      <c r="V188" s="50">
        <f>S198+U188</f>
        <v>-1459</v>
      </c>
      <c r="W188" s="172"/>
    </row>
    <row r="189" spans="1:23" ht="15.75" customHeight="1">
      <c r="A189" s="114"/>
      <c r="B189" s="118"/>
      <c r="C189" s="117"/>
      <c r="D189" s="19">
        <f t="shared" ref="D189:D198" si="112">D188+C189</f>
        <v>-1459</v>
      </c>
      <c r="E189" s="106"/>
      <c r="F189" s="107"/>
      <c r="G189" s="26">
        <f t="shared" ref="G189:G198" si="113">G188+F189</f>
        <v>-1459</v>
      </c>
      <c r="H189" s="133"/>
      <c r="I189" s="117"/>
      <c r="J189" s="19">
        <f t="shared" ref="J189:J198" si="114">J188+I189</f>
        <v>-1459</v>
      </c>
      <c r="K189" s="106"/>
      <c r="L189" s="107"/>
      <c r="M189" s="26">
        <f t="shared" ref="M189:M198" si="115">M188+L189</f>
        <v>-1459</v>
      </c>
      <c r="N189" s="117"/>
      <c r="O189" s="117"/>
      <c r="P189" s="38">
        <f t="shared" ref="P189:P198" si="116">P188+O189</f>
        <v>-1459</v>
      </c>
      <c r="Q189" s="106"/>
      <c r="R189" s="107"/>
      <c r="S189" s="26">
        <f t="shared" ref="S189:S198" si="117">S188+R189</f>
        <v>-1459</v>
      </c>
      <c r="T189" s="136"/>
      <c r="U189" s="136"/>
      <c r="V189" s="45">
        <f t="shared" ref="V189:V198" si="118">V188+U189</f>
        <v>-1459</v>
      </c>
      <c r="W189" s="143"/>
    </row>
    <row r="190" spans="1:23" ht="15.75" customHeight="1">
      <c r="A190" s="114"/>
      <c r="B190" s="118"/>
      <c r="C190" s="117"/>
      <c r="D190" s="19">
        <f t="shared" si="112"/>
        <v>-1459</v>
      </c>
      <c r="E190" s="106"/>
      <c r="F190" s="107"/>
      <c r="G190" s="26">
        <f t="shared" si="113"/>
        <v>-1459</v>
      </c>
      <c r="H190" s="133"/>
      <c r="I190" s="117"/>
      <c r="J190" s="19">
        <f t="shared" si="114"/>
        <v>-1459</v>
      </c>
      <c r="K190" s="106"/>
      <c r="L190" s="107"/>
      <c r="M190" s="26">
        <f t="shared" si="115"/>
        <v>-1459</v>
      </c>
      <c r="N190" s="117"/>
      <c r="O190" s="117"/>
      <c r="P190" s="38">
        <f t="shared" si="116"/>
        <v>-1459</v>
      </c>
      <c r="Q190" s="106"/>
      <c r="R190" s="107"/>
      <c r="S190" s="26">
        <f t="shared" si="117"/>
        <v>-1459</v>
      </c>
      <c r="T190" s="136"/>
      <c r="U190" s="136"/>
      <c r="V190" s="45">
        <f t="shared" si="118"/>
        <v>-1459</v>
      </c>
      <c r="W190" s="143"/>
    </row>
    <row r="191" spans="1:23" ht="15.75" customHeight="1">
      <c r="A191" s="114"/>
      <c r="B191" s="118"/>
      <c r="C191" s="117"/>
      <c r="D191" s="19">
        <f t="shared" si="112"/>
        <v>-1459</v>
      </c>
      <c r="E191" s="106"/>
      <c r="F191" s="107"/>
      <c r="G191" s="26">
        <f t="shared" si="113"/>
        <v>-1459</v>
      </c>
      <c r="H191" s="133"/>
      <c r="I191" s="117"/>
      <c r="J191" s="19">
        <f t="shared" si="114"/>
        <v>-1459</v>
      </c>
      <c r="K191" s="106"/>
      <c r="L191" s="107"/>
      <c r="M191" s="26">
        <f t="shared" si="115"/>
        <v>-1459</v>
      </c>
      <c r="N191" s="117"/>
      <c r="O191" s="117"/>
      <c r="P191" s="38">
        <f t="shared" si="116"/>
        <v>-1459</v>
      </c>
      <c r="Q191" s="106"/>
      <c r="R191" s="107"/>
      <c r="S191" s="26">
        <f t="shared" si="117"/>
        <v>-1459</v>
      </c>
      <c r="T191" s="136"/>
      <c r="U191" s="136"/>
      <c r="V191" s="45">
        <f t="shared" si="118"/>
        <v>-1459</v>
      </c>
      <c r="W191" s="143"/>
    </row>
    <row r="192" spans="1:23" ht="15.75" customHeight="1">
      <c r="A192" s="114"/>
      <c r="B192" s="118"/>
      <c r="C192" s="117"/>
      <c r="D192" s="19">
        <f t="shared" si="112"/>
        <v>-1459</v>
      </c>
      <c r="E192" s="106"/>
      <c r="F192" s="107"/>
      <c r="G192" s="26">
        <f t="shared" si="113"/>
        <v>-1459</v>
      </c>
      <c r="H192" s="133"/>
      <c r="I192" s="117"/>
      <c r="J192" s="19">
        <f t="shared" si="114"/>
        <v>-1459</v>
      </c>
      <c r="K192" s="106"/>
      <c r="L192" s="107"/>
      <c r="M192" s="26">
        <f t="shared" si="115"/>
        <v>-1459</v>
      </c>
      <c r="N192" s="117"/>
      <c r="O192" s="117"/>
      <c r="P192" s="38">
        <f t="shared" si="116"/>
        <v>-1459</v>
      </c>
      <c r="Q192" s="106"/>
      <c r="R192" s="107"/>
      <c r="S192" s="26">
        <f t="shared" si="117"/>
        <v>-1459</v>
      </c>
      <c r="T192" s="136"/>
      <c r="U192" s="136"/>
      <c r="V192" s="45">
        <f t="shared" si="118"/>
        <v>-1459</v>
      </c>
      <c r="W192" s="143"/>
    </row>
    <row r="193" spans="1:23" ht="15.75" customHeight="1">
      <c r="A193" s="114"/>
      <c r="B193" s="118"/>
      <c r="C193" s="117"/>
      <c r="D193" s="19">
        <f t="shared" si="112"/>
        <v>-1459</v>
      </c>
      <c r="E193" s="106"/>
      <c r="F193" s="107"/>
      <c r="G193" s="26">
        <f t="shared" si="113"/>
        <v>-1459</v>
      </c>
      <c r="H193" s="133"/>
      <c r="I193" s="117"/>
      <c r="J193" s="19">
        <f t="shared" si="114"/>
        <v>-1459</v>
      </c>
      <c r="K193" s="106"/>
      <c r="L193" s="107"/>
      <c r="M193" s="26">
        <f t="shared" si="115"/>
        <v>-1459</v>
      </c>
      <c r="N193" s="118"/>
      <c r="O193" s="117"/>
      <c r="P193" s="38">
        <f t="shared" si="116"/>
        <v>-1459</v>
      </c>
      <c r="Q193" s="106"/>
      <c r="R193" s="107"/>
      <c r="S193" s="26">
        <f t="shared" si="117"/>
        <v>-1459</v>
      </c>
      <c r="T193" s="136"/>
      <c r="U193" s="136"/>
      <c r="V193" s="45">
        <f t="shared" si="118"/>
        <v>-1459</v>
      </c>
      <c r="W193" s="143"/>
    </row>
    <row r="194" spans="1:23" ht="15.75" customHeight="1">
      <c r="A194" s="114"/>
      <c r="B194" s="117"/>
      <c r="C194" s="117"/>
      <c r="D194" s="19">
        <f t="shared" si="112"/>
        <v>-1459</v>
      </c>
      <c r="E194" s="106"/>
      <c r="F194" s="107"/>
      <c r="G194" s="26">
        <f t="shared" si="113"/>
        <v>-1459</v>
      </c>
      <c r="H194" s="133"/>
      <c r="I194" s="117"/>
      <c r="J194" s="19">
        <f t="shared" si="114"/>
        <v>-1459</v>
      </c>
      <c r="K194" s="106"/>
      <c r="L194" s="107"/>
      <c r="M194" s="26">
        <f t="shared" si="115"/>
        <v>-1459</v>
      </c>
      <c r="N194" s="117"/>
      <c r="O194" s="117"/>
      <c r="P194" s="38">
        <f t="shared" si="116"/>
        <v>-1459</v>
      </c>
      <c r="Q194" s="106"/>
      <c r="R194" s="107"/>
      <c r="S194" s="26">
        <f t="shared" si="117"/>
        <v>-1459</v>
      </c>
      <c r="T194" s="136"/>
      <c r="U194" s="136"/>
      <c r="V194" s="45">
        <f t="shared" si="118"/>
        <v>-1459</v>
      </c>
      <c r="W194" s="143"/>
    </row>
    <row r="195" spans="1:23" ht="15.75" customHeight="1">
      <c r="A195" s="114"/>
      <c r="B195" s="117"/>
      <c r="C195" s="117"/>
      <c r="D195" s="19">
        <f t="shared" si="112"/>
        <v>-1459</v>
      </c>
      <c r="E195" s="106"/>
      <c r="F195" s="107"/>
      <c r="G195" s="26">
        <f t="shared" si="113"/>
        <v>-1459</v>
      </c>
      <c r="H195" s="133"/>
      <c r="I195" s="117"/>
      <c r="J195" s="19">
        <f t="shared" si="114"/>
        <v>-1459</v>
      </c>
      <c r="K195" s="106"/>
      <c r="L195" s="107"/>
      <c r="M195" s="26">
        <f t="shared" si="115"/>
        <v>-1459</v>
      </c>
      <c r="N195" s="117"/>
      <c r="O195" s="117"/>
      <c r="P195" s="38">
        <f t="shared" si="116"/>
        <v>-1459</v>
      </c>
      <c r="Q195" s="106"/>
      <c r="R195" s="107"/>
      <c r="S195" s="26">
        <f t="shared" si="117"/>
        <v>-1459</v>
      </c>
      <c r="T195" s="136"/>
      <c r="U195" s="136"/>
      <c r="V195" s="45">
        <f t="shared" si="118"/>
        <v>-1459</v>
      </c>
      <c r="W195" s="143"/>
    </row>
    <row r="196" spans="1:23" ht="15.75" customHeight="1">
      <c r="A196" s="114"/>
      <c r="B196" s="117"/>
      <c r="C196" s="117"/>
      <c r="D196" s="19">
        <f t="shared" si="112"/>
        <v>-1459</v>
      </c>
      <c r="E196" s="106"/>
      <c r="F196" s="107"/>
      <c r="G196" s="26">
        <f t="shared" si="113"/>
        <v>-1459</v>
      </c>
      <c r="H196" s="133"/>
      <c r="I196" s="117"/>
      <c r="J196" s="19">
        <f t="shared" si="114"/>
        <v>-1459</v>
      </c>
      <c r="K196" s="106"/>
      <c r="L196" s="107"/>
      <c r="M196" s="26">
        <f t="shared" si="115"/>
        <v>-1459</v>
      </c>
      <c r="N196" s="117"/>
      <c r="O196" s="117"/>
      <c r="P196" s="38">
        <f t="shared" si="116"/>
        <v>-1459</v>
      </c>
      <c r="Q196" s="106"/>
      <c r="R196" s="107"/>
      <c r="S196" s="26">
        <f t="shared" si="117"/>
        <v>-1459</v>
      </c>
      <c r="T196" s="136"/>
      <c r="U196" s="136"/>
      <c r="V196" s="45">
        <f t="shared" si="118"/>
        <v>-1459</v>
      </c>
      <c r="W196" s="143"/>
    </row>
    <row r="197" spans="1:23" ht="15.75" customHeight="1">
      <c r="A197" s="114"/>
      <c r="B197" s="117"/>
      <c r="C197" s="117"/>
      <c r="D197" s="19">
        <f t="shared" si="112"/>
        <v>-1459</v>
      </c>
      <c r="E197" s="122"/>
      <c r="F197" s="123"/>
      <c r="G197" s="26">
        <f t="shared" si="113"/>
        <v>-1459</v>
      </c>
      <c r="H197" s="133"/>
      <c r="I197" s="117"/>
      <c r="J197" s="19">
        <f t="shared" si="114"/>
        <v>-1459</v>
      </c>
      <c r="K197" s="122"/>
      <c r="L197" s="123"/>
      <c r="M197" s="26">
        <f t="shared" si="115"/>
        <v>-1459</v>
      </c>
      <c r="N197" s="117"/>
      <c r="O197" s="117"/>
      <c r="P197" s="38">
        <f t="shared" si="116"/>
        <v>-1459</v>
      </c>
      <c r="Q197" s="122"/>
      <c r="R197" s="123"/>
      <c r="S197" s="26">
        <f t="shared" si="117"/>
        <v>-1459</v>
      </c>
      <c r="T197" s="136"/>
      <c r="U197" s="136"/>
      <c r="V197" s="45">
        <f t="shared" si="118"/>
        <v>-1459</v>
      </c>
      <c r="W197" s="143"/>
    </row>
    <row r="198" spans="1:23" ht="15.75" customHeight="1">
      <c r="A198" s="114"/>
      <c r="B198" s="128"/>
      <c r="C198" s="128"/>
      <c r="D198" s="29">
        <f t="shared" si="112"/>
        <v>-1459</v>
      </c>
      <c r="E198" s="122"/>
      <c r="F198" s="123"/>
      <c r="G198" s="39">
        <f t="shared" si="113"/>
        <v>-1459</v>
      </c>
      <c r="H198" s="140"/>
      <c r="I198" s="128"/>
      <c r="J198" s="29">
        <f t="shared" si="114"/>
        <v>-1459</v>
      </c>
      <c r="K198" s="122"/>
      <c r="L198" s="123"/>
      <c r="M198" s="39">
        <f t="shared" si="115"/>
        <v>-1459</v>
      </c>
      <c r="N198" s="128"/>
      <c r="O198" s="128"/>
      <c r="P198" s="40">
        <f t="shared" si="116"/>
        <v>-1459</v>
      </c>
      <c r="Q198" s="122"/>
      <c r="R198" s="123"/>
      <c r="S198" s="39">
        <f t="shared" si="117"/>
        <v>-1459</v>
      </c>
      <c r="T198" s="141"/>
      <c r="U198" s="141"/>
      <c r="V198" s="46">
        <f t="shared" si="118"/>
        <v>-1459</v>
      </c>
      <c r="W198" s="143"/>
    </row>
    <row r="199" spans="1:23" ht="15.75" customHeight="1">
      <c r="A199" s="87"/>
      <c r="B199" s="77">
        <f ca="1">IFERROR(__xludf.DUMMYFUNCTION("DATE(VALUE(LEFT($B$2,4)),VALUE(MID($B$2,6,2)),VALUE(RIGHT($B$2,2)))
+ (VALUE(REGEXEXTRACT(INDIRECT(""A""&amp;ROW()+1),""\d+""))-1)*7
+ INT((COLUMN()-COLUMN($B199))/3)
"),47237)</f>
        <v>47237</v>
      </c>
      <c r="C199" s="81"/>
      <c r="D199" s="82"/>
      <c r="E199" s="77">
        <f ca="1">IFERROR(__xludf.DUMMYFUNCTION("DATE(VALUE(LEFT($B$2,4)),VALUE(MID($B$2,6,2)),VALUE(RIGHT($B$2,2)))
+ (VALUE(REGEXEXTRACT(INDIRECT(""A""&amp;ROW()+1),""\d+""))-1)*7
+ INT((COLUMN()-COLUMN($B199))/3)
"),47238)</f>
        <v>47238</v>
      </c>
      <c r="F199" s="81"/>
      <c r="G199" s="82"/>
      <c r="H199" s="77">
        <f ca="1">IFERROR(__xludf.DUMMYFUNCTION("DATE(VALUE(LEFT($B$2,4)),VALUE(MID($B$2,6,2)),VALUE(RIGHT($B$2,2)))
+ (VALUE(REGEXEXTRACT(INDIRECT(""A""&amp;ROW()+1),""\d+""))-1)*7
+ INT((COLUMN()-COLUMN($B199))/3)
"),47239)</f>
        <v>47239</v>
      </c>
      <c r="I199" s="81"/>
      <c r="J199" s="82"/>
      <c r="K199" s="77">
        <f ca="1">IFERROR(__xludf.DUMMYFUNCTION("DATE(VALUE(LEFT($B$2,4)),VALUE(MID($B$2,6,2)),VALUE(RIGHT($B$2,2)))
+ (VALUE(REGEXEXTRACT(INDIRECT(""A""&amp;ROW()+1),""\d+""))-1)*7
+ INT((COLUMN()-COLUMN($B199))/3)
"),47240)</f>
        <v>47240</v>
      </c>
      <c r="L199" s="81"/>
      <c r="M199" s="82"/>
      <c r="N199" s="77">
        <f ca="1">IFERROR(__xludf.DUMMYFUNCTION("DATE(VALUE(LEFT($B$2,4)),VALUE(MID($B$2,6,2)),VALUE(RIGHT($B$2,2)))
+ (VALUE(REGEXEXTRACT(INDIRECT(""A""&amp;ROW()+1),""\d+""))-1)*7
+ INT((COLUMN()-COLUMN($B199))/3)
"),47241)</f>
        <v>47241</v>
      </c>
      <c r="O199" s="81"/>
      <c r="P199" s="82"/>
      <c r="Q199" s="77">
        <f ca="1">IFERROR(__xludf.DUMMYFUNCTION("DATE(VALUE(LEFT($B$2,4)),VALUE(MID($B$2,6,2)),VALUE(RIGHT($B$2,2)))
+ (VALUE(REGEXEXTRACT(INDIRECT(""A""&amp;ROW()+1),""\d+""))-1)*7
+ INT((COLUMN()-COLUMN($B199))/3)
"),47242)</f>
        <v>47242</v>
      </c>
      <c r="R199" s="81"/>
      <c r="S199" s="82"/>
      <c r="T199" s="77">
        <f ca="1">IFERROR(__xludf.DUMMYFUNCTION("DATE(VALUE(LEFT($B$2,4)),VALUE(MID($B$2,6,2)),VALUE(RIGHT($B$2,2)))
+ (VALUE(REGEXEXTRACT(INDIRECT(""A""&amp;ROW()+1),""\d+""))-1)*7
+ INT((COLUMN()-COLUMN($B199))/3)
"),47243)</f>
        <v>47243</v>
      </c>
      <c r="U199" s="81"/>
      <c r="V199" s="82"/>
      <c r="W199" s="143"/>
    </row>
    <row r="200" spans="1:23" ht="15.75" customHeight="1">
      <c r="A200" s="51" t="s">
        <v>29</v>
      </c>
      <c r="B200" s="112"/>
      <c r="C200" s="111"/>
      <c r="D200" s="17">
        <f>V198+C200</f>
        <v>-1459</v>
      </c>
      <c r="E200" s="109"/>
      <c r="F200" s="109"/>
      <c r="G200" s="54">
        <f>D210+F200</f>
        <v>-1459</v>
      </c>
      <c r="H200" s="110"/>
      <c r="I200" s="111"/>
      <c r="J200" s="17">
        <f>G210+I200</f>
        <v>-1459</v>
      </c>
      <c r="K200" s="109"/>
      <c r="L200" s="109"/>
      <c r="M200" s="35">
        <f>J210+L200</f>
        <v>-1459</v>
      </c>
      <c r="N200" s="112"/>
      <c r="O200" s="111"/>
      <c r="P200" s="17">
        <f>M210+O200</f>
        <v>-1459</v>
      </c>
      <c r="Q200" s="113"/>
      <c r="R200" s="109"/>
      <c r="S200" s="35">
        <f>P210+R200</f>
        <v>-1459</v>
      </c>
      <c r="T200" s="112"/>
      <c r="U200" s="111"/>
      <c r="V200" s="48">
        <f>S210+U200</f>
        <v>-1459</v>
      </c>
      <c r="W200" s="143"/>
    </row>
    <row r="201" spans="1:23" ht="15.75" customHeight="1">
      <c r="A201" s="114"/>
      <c r="B201" s="106"/>
      <c r="C201" s="107"/>
      <c r="D201" s="26">
        <f t="shared" ref="D201:D210" si="119">D200+C201</f>
        <v>-1459</v>
      </c>
      <c r="E201" s="117"/>
      <c r="F201" s="117"/>
      <c r="G201" s="19">
        <f t="shared" ref="G201:G210" si="120">G200+F201</f>
        <v>-1459</v>
      </c>
      <c r="H201" s="116"/>
      <c r="I201" s="107"/>
      <c r="J201" s="26">
        <f t="shared" ref="J201:J210" si="121">J200+I201</f>
        <v>-1459</v>
      </c>
      <c r="K201" s="117"/>
      <c r="L201" s="117"/>
      <c r="M201" s="38">
        <f t="shared" ref="M201:M210" si="122">M200+L201</f>
        <v>-1459</v>
      </c>
      <c r="N201" s="106"/>
      <c r="O201" s="107"/>
      <c r="P201" s="26">
        <f t="shared" ref="P201:P210" si="123">P200+O201</f>
        <v>-1459</v>
      </c>
      <c r="Q201" s="118"/>
      <c r="R201" s="117"/>
      <c r="S201" s="38">
        <f t="shared" ref="S201:S210" si="124">S200+R201</f>
        <v>-1459</v>
      </c>
      <c r="T201" s="106"/>
      <c r="U201" s="107"/>
      <c r="V201" s="20">
        <f t="shared" ref="V201:V210" si="125">V200+U201</f>
        <v>-1459</v>
      </c>
      <c r="W201" s="143"/>
    </row>
    <row r="202" spans="1:23" ht="15.75" customHeight="1">
      <c r="A202" s="114"/>
      <c r="B202" s="106"/>
      <c r="C202" s="107"/>
      <c r="D202" s="26">
        <f t="shared" si="119"/>
        <v>-1459</v>
      </c>
      <c r="E202" s="117"/>
      <c r="F202" s="117"/>
      <c r="G202" s="19">
        <f t="shared" si="120"/>
        <v>-1459</v>
      </c>
      <c r="H202" s="106"/>
      <c r="I202" s="107"/>
      <c r="J202" s="26">
        <f t="shared" si="121"/>
        <v>-1459</v>
      </c>
      <c r="K202" s="117"/>
      <c r="L202" s="117"/>
      <c r="M202" s="38">
        <f t="shared" si="122"/>
        <v>-1459</v>
      </c>
      <c r="N202" s="106"/>
      <c r="O202" s="107"/>
      <c r="P202" s="26">
        <f t="shared" si="123"/>
        <v>-1459</v>
      </c>
      <c r="Q202" s="118"/>
      <c r="R202" s="117"/>
      <c r="S202" s="38">
        <f t="shared" si="124"/>
        <v>-1459</v>
      </c>
      <c r="T202" s="106"/>
      <c r="U202" s="107"/>
      <c r="V202" s="20">
        <f t="shared" si="125"/>
        <v>-1459</v>
      </c>
      <c r="W202" s="143"/>
    </row>
    <row r="203" spans="1:23" ht="15.75" customHeight="1">
      <c r="A203" s="114"/>
      <c r="B203" s="106"/>
      <c r="C203" s="107"/>
      <c r="D203" s="26">
        <f t="shared" si="119"/>
        <v>-1459</v>
      </c>
      <c r="E203" s="117"/>
      <c r="F203" s="117"/>
      <c r="G203" s="19">
        <f t="shared" si="120"/>
        <v>-1459</v>
      </c>
      <c r="H203" s="106"/>
      <c r="I203" s="107"/>
      <c r="J203" s="26">
        <f t="shared" si="121"/>
        <v>-1459</v>
      </c>
      <c r="K203" s="117"/>
      <c r="L203" s="117"/>
      <c r="M203" s="38">
        <f t="shared" si="122"/>
        <v>-1459</v>
      </c>
      <c r="N203" s="106"/>
      <c r="O203" s="107"/>
      <c r="P203" s="26">
        <f t="shared" si="123"/>
        <v>-1459</v>
      </c>
      <c r="Q203" s="118"/>
      <c r="R203" s="117"/>
      <c r="S203" s="38">
        <f t="shared" si="124"/>
        <v>-1459</v>
      </c>
      <c r="T203" s="106"/>
      <c r="U203" s="107"/>
      <c r="V203" s="20">
        <f t="shared" si="125"/>
        <v>-1459</v>
      </c>
      <c r="W203" s="143"/>
    </row>
    <row r="204" spans="1:23" ht="15.75" customHeight="1">
      <c r="A204" s="114"/>
      <c r="B204" s="106"/>
      <c r="C204" s="107"/>
      <c r="D204" s="26">
        <f t="shared" si="119"/>
        <v>-1459</v>
      </c>
      <c r="E204" s="117"/>
      <c r="F204" s="117"/>
      <c r="G204" s="19">
        <f t="shared" si="120"/>
        <v>-1459</v>
      </c>
      <c r="H204" s="106"/>
      <c r="I204" s="107"/>
      <c r="J204" s="26">
        <f t="shared" si="121"/>
        <v>-1459</v>
      </c>
      <c r="K204" s="117"/>
      <c r="L204" s="117"/>
      <c r="M204" s="38">
        <f t="shared" si="122"/>
        <v>-1459</v>
      </c>
      <c r="N204" s="106"/>
      <c r="O204" s="107"/>
      <c r="P204" s="26">
        <f t="shared" si="123"/>
        <v>-1459</v>
      </c>
      <c r="Q204" s="118"/>
      <c r="R204" s="117"/>
      <c r="S204" s="38">
        <f t="shared" si="124"/>
        <v>-1459</v>
      </c>
      <c r="T204" s="106"/>
      <c r="U204" s="107"/>
      <c r="V204" s="20">
        <f t="shared" si="125"/>
        <v>-1459</v>
      </c>
      <c r="W204" s="143"/>
    </row>
    <row r="205" spans="1:23" ht="15.75" customHeight="1">
      <c r="A205" s="114"/>
      <c r="B205" s="106"/>
      <c r="C205" s="107"/>
      <c r="D205" s="26">
        <f t="shared" si="119"/>
        <v>-1459</v>
      </c>
      <c r="E205" s="117"/>
      <c r="F205" s="117"/>
      <c r="G205" s="19">
        <f t="shared" si="120"/>
        <v>-1459</v>
      </c>
      <c r="H205" s="106"/>
      <c r="I205" s="107"/>
      <c r="J205" s="26">
        <f t="shared" si="121"/>
        <v>-1459</v>
      </c>
      <c r="K205" s="117"/>
      <c r="L205" s="117"/>
      <c r="M205" s="38">
        <f t="shared" si="122"/>
        <v>-1459</v>
      </c>
      <c r="N205" s="106"/>
      <c r="O205" s="107"/>
      <c r="P205" s="26">
        <f t="shared" si="123"/>
        <v>-1459</v>
      </c>
      <c r="Q205" s="118"/>
      <c r="R205" s="117"/>
      <c r="S205" s="38">
        <f t="shared" si="124"/>
        <v>-1459</v>
      </c>
      <c r="T205" s="106"/>
      <c r="U205" s="116"/>
      <c r="V205" s="20">
        <f t="shared" si="125"/>
        <v>-1459</v>
      </c>
      <c r="W205" s="143"/>
    </row>
    <row r="206" spans="1:23" ht="15.75" customHeight="1">
      <c r="A206" s="114"/>
      <c r="B206" s="106"/>
      <c r="C206" s="107"/>
      <c r="D206" s="26">
        <f t="shared" si="119"/>
        <v>-1459</v>
      </c>
      <c r="E206" s="117"/>
      <c r="F206" s="117"/>
      <c r="G206" s="19">
        <f t="shared" si="120"/>
        <v>-1459</v>
      </c>
      <c r="H206" s="106"/>
      <c r="I206" s="107"/>
      <c r="J206" s="26">
        <f t="shared" si="121"/>
        <v>-1459</v>
      </c>
      <c r="K206" s="117"/>
      <c r="L206" s="117"/>
      <c r="M206" s="38">
        <f t="shared" si="122"/>
        <v>-1459</v>
      </c>
      <c r="N206" s="106"/>
      <c r="O206" s="107"/>
      <c r="P206" s="26">
        <f t="shared" si="123"/>
        <v>-1459</v>
      </c>
      <c r="Q206" s="117"/>
      <c r="R206" s="117"/>
      <c r="S206" s="38">
        <f t="shared" si="124"/>
        <v>-1459</v>
      </c>
      <c r="T206" s="106"/>
      <c r="U206" s="116"/>
      <c r="V206" s="20">
        <f t="shared" si="125"/>
        <v>-1459</v>
      </c>
      <c r="W206" s="143"/>
    </row>
    <row r="207" spans="1:23" ht="15.75" customHeight="1">
      <c r="A207" s="114"/>
      <c r="B207" s="106"/>
      <c r="C207" s="107"/>
      <c r="D207" s="26">
        <f t="shared" si="119"/>
        <v>-1459</v>
      </c>
      <c r="E207" s="117"/>
      <c r="F207" s="117"/>
      <c r="G207" s="19">
        <f t="shared" si="120"/>
        <v>-1459</v>
      </c>
      <c r="H207" s="106"/>
      <c r="I207" s="107"/>
      <c r="J207" s="26">
        <f t="shared" si="121"/>
        <v>-1459</v>
      </c>
      <c r="K207" s="117"/>
      <c r="L207" s="117"/>
      <c r="M207" s="38">
        <f t="shared" si="122"/>
        <v>-1459</v>
      </c>
      <c r="N207" s="106"/>
      <c r="O207" s="107"/>
      <c r="P207" s="26">
        <f t="shared" si="123"/>
        <v>-1459</v>
      </c>
      <c r="Q207" s="118"/>
      <c r="R207" s="117"/>
      <c r="S207" s="38">
        <f t="shared" si="124"/>
        <v>-1459</v>
      </c>
      <c r="T207" s="106"/>
      <c r="U207" s="116"/>
      <c r="V207" s="20">
        <f t="shared" si="125"/>
        <v>-1459</v>
      </c>
      <c r="W207" s="143"/>
    </row>
    <row r="208" spans="1:23" ht="15.75" customHeight="1">
      <c r="A208" s="114"/>
      <c r="B208" s="122"/>
      <c r="C208" s="123"/>
      <c r="D208" s="26">
        <f t="shared" si="119"/>
        <v>-1459</v>
      </c>
      <c r="E208" s="117"/>
      <c r="F208" s="117"/>
      <c r="G208" s="19">
        <f t="shared" si="120"/>
        <v>-1459</v>
      </c>
      <c r="H208" s="122"/>
      <c r="I208" s="123"/>
      <c r="J208" s="26">
        <f t="shared" si="121"/>
        <v>-1459</v>
      </c>
      <c r="K208" s="117"/>
      <c r="L208" s="117"/>
      <c r="M208" s="38">
        <f t="shared" si="122"/>
        <v>-1459</v>
      </c>
      <c r="N208" s="106"/>
      <c r="O208" s="107"/>
      <c r="P208" s="26">
        <f t="shared" si="123"/>
        <v>-1459</v>
      </c>
      <c r="Q208" s="118"/>
      <c r="R208" s="117"/>
      <c r="S208" s="38">
        <f t="shared" si="124"/>
        <v>-1459</v>
      </c>
      <c r="T208" s="106"/>
      <c r="U208" s="116"/>
      <c r="V208" s="20">
        <f t="shared" si="125"/>
        <v>-1459</v>
      </c>
      <c r="W208" s="143"/>
    </row>
    <row r="209" spans="1:23" ht="15.75" customHeight="1">
      <c r="A209" s="114"/>
      <c r="B209" s="122"/>
      <c r="C209" s="123"/>
      <c r="D209" s="26">
        <f t="shared" si="119"/>
        <v>-1459</v>
      </c>
      <c r="E209" s="117"/>
      <c r="F209" s="117"/>
      <c r="G209" s="19">
        <f t="shared" si="120"/>
        <v>-1459</v>
      </c>
      <c r="H209" s="122"/>
      <c r="I209" s="123"/>
      <c r="J209" s="26">
        <f t="shared" si="121"/>
        <v>-1459</v>
      </c>
      <c r="K209" s="117"/>
      <c r="L209" s="117"/>
      <c r="M209" s="38">
        <f t="shared" si="122"/>
        <v>-1459</v>
      </c>
      <c r="N209" s="122"/>
      <c r="O209" s="123"/>
      <c r="P209" s="26">
        <f t="shared" si="123"/>
        <v>-1459</v>
      </c>
      <c r="Q209" s="117"/>
      <c r="R209" s="117"/>
      <c r="S209" s="38">
        <f t="shared" si="124"/>
        <v>-1459</v>
      </c>
      <c r="T209" s="122"/>
      <c r="U209" s="124"/>
      <c r="V209" s="20">
        <f t="shared" si="125"/>
        <v>-1459</v>
      </c>
      <c r="W209" s="143"/>
    </row>
    <row r="210" spans="1:23" ht="15.75" customHeight="1">
      <c r="A210" s="114"/>
      <c r="B210" s="122"/>
      <c r="C210" s="123"/>
      <c r="D210" s="39">
        <f t="shared" si="119"/>
        <v>-1459</v>
      </c>
      <c r="E210" s="128"/>
      <c r="F210" s="128"/>
      <c r="G210" s="29">
        <f t="shared" si="120"/>
        <v>-1459</v>
      </c>
      <c r="H210" s="122"/>
      <c r="I210" s="123"/>
      <c r="J210" s="39">
        <f t="shared" si="121"/>
        <v>-1459</v>
      </c>
      <c r="K210" s="128"/>
      <c r="L210" s="128"/>
      <c r="M210" s="40">
        <f t="shared" si="122"/>
        <v>-1459</v>
      </c>
      <c r="N210" s="122"/>
      <c r="O210" s="123"/>
      <c r="P210" s="39">
        <f t="shared" si="123"/>
        <v>-1459</v>
      </c>
      <c r="Q210" s="128"/>
      <c r="R210" s="128"/>
      <c r="S210" s="40">
        <f t="shared" si="124"/>
        <v>-1459</v>
      </c>
      <c r="T210" s="122"/>
      <c r="U210" s="123"/>
      <c r="V210" s="49">
        <f t="shared" si="125"/>
        <v>-1459</v>
      </c>
      <c r="W210" s="143"/>
    </row>
    <row r="211" spans="1:23" ht="15.75" customHeight="1">
      <c r="A211" s="87"/>
      <c r="B211" s="77">
        <f ca="1">IFERROR(__xludf.DUMMYFUNCTION("DATE(VALUE(LEFT($B$2,4)),VALUE(MID($B$2,6,2)),VALUE(RIGHT($B$2,2)))
+ (VALUE(REGEXEXTRACT(INDIRECT(""A""&amp;ROW()+1),""\d+""))-1)*7
+ INT((COLUMN()-COLUMN($B211))/3)
"),47244)</f>
        <v>47244</v>
      </c>
      <c r="C211" s="81"/>
      <c r="D211" s="82"/>
      <c r="E211" s="77">
        <f ca="1">IFERROR(__xludf.DUMMYFUNCTION("DATE(VALUE(LEFT($B$2,4)),VALUE(MID($B$2,6,2)),VALUE(RIGHT($B$2,2)))
+ (VALUE(REGEXEXTRACT(INDIRECT(""A""&amp;ROW()+1),""\d+""))-1)*7
+ INT((COLUMN()-COLUMN($B211))/3)
"),47245)</f>
        <v>47245</v>
      </c>
      <c r="F211" s="81"/>
      <c r="G211" s="82"/>
      <c r="H211" s="77">
        <f ca="1">IFERROR(__xludf.DUMMYFUNCTION("DATE(VALUE(LEFT($B$2,4)),VALUE(MID($B$2,6,2)),VALUE(RIGHT($B$2,2)))
+ (VALUE(REGEXEXTRACT(INDIRECT(""A""&amp;ROW()+1),""\d+""))-1)*7
+ INT((COLUMN()-COLUMN($B211))/3)
"),47246)</f>
        <v>47246</v>
      </c>
      <c r="I211" s="81"/>
      <c r="J211" s="82"/>
      <c r="K211" s="77">
        <f ca="1">IFERROR(__xludf.DUMMYFUNCTION("DATE(VALUE(LEFT($B$2,4)),VALUE(MID($B$2,6,2)),VALUE(RIGHT($B$2,2)))
+ (VALUE(REGEXEXTRACT(INDIRECT(""A""&amp;ROW()+1),""\d+""))-1)*7
+ INT((COLUMN()-COLUMN($B211))/3)
"),47247)</f>
        <v>47247</v>
      </c>
      <c r="L211" s="81"/>
      <c r="M211" s="82"/>
      <c r="N211" s="77">
        <f ca="1">IFERROR(__xludf.DUMMYFUNCTION("DATE(VALUE(LEFT($B$2,4)),VALUE(MID($B$2,6,2)),VALUE(RIGHT($B$2,2)))
+ (VALUE(REGEXEXTRACT(INDIRECT(""A""&amp;ROW()+1),""\d+""))-1)*7
+ INT((COLUMN()-COLUMN($B211))/3)
"),47248)</f>
        <v>47248</v>
      </c>
      <c r="O211" s="81"/>
      <c r="P211" s="82"/>
      <c r="Q211" s="77">
        <f ca="1">IFERROR(__xludf.DUMMYFUNCTION("DATE(VALUE(LEFT($B$2,4)),VALUE(MID($B$2,6,2)),VALUE(RIGHT($B$2,2)))
+ (VALUE(REGEXEXTRACT(INDIRECT(""A""&amp;ROW()+1),""\d+""))-1)*7
+ INT((COLUMN()-COLUMN($B211))/3)
"),47249)</f>
        <v>47249</v>
      </c>
      <c r="R211" s="81"/>
      <c r="S211" s="82"/>
      <c r="T211" s="77">
        <f ca="1">IFERROR(__xludf.DUMMYFUNCTION("DATE(VALUE(LEFT($B$2,4)),VALUE(MID($B$2,6,2)),VALUE(RIGHT($B$2,2)))
+ (VALUE(REGEXEXTRACT(INDIRECT(""A""&amp;ROW()+1),""\d+""))-1)*7
+ INT((COLUMN()-COLUMN($B211))/3)
"),47250)</f>
        <v>47250</v>
      </c>
      <c r="U211" s="81"/>
      <c r="V211" s="82"/>
      <c r="W211" s="52" t="s">
        <v>20</v>
      </c>
    </row>
    <row r="212" spans="1:23" ht="15.75" customHeight="1">
      <c r="A212" s="47" t="s">
        <v>51</v>
      </c>
      <c r="B212" s="109"/>
      <c r="C212" s="109"/>
      <c r="D212" s="42">
        <f>V210+C212</f>
        <v>-1459</v>
      </c>
      <c r="E212" s="112"/>
      <c r="F212" s="111"/>
      <c r="G212" s="36">
        <f>D222+F212</f>
        <v>-1459</v>
      </c>
      <c r="H212" s="132"/>
      <c r="I212" s="109"/>
      <c r="J212" s="42">
        <f>G222+I212</f>
        <v>-1459</v>
      </c>
      <c r="K212" s="112"/>
      <c r="L212" s="111"/>
      <c r="M212" s="18">
        <f>J222+L212</f>
        <v>-1459</v>
      </c>
      <c r="N212" s="113"/>
      <c r="O212" s="109"/>
      <c r="P212" s="35">
        <f>M222+O212</f>
        <v>-1459</v>
      </c>
      <c r="Q212" s="112"/>
      <c r="R212" s="111"/>
      <c r="S212" s="18">
        <f>P222+R212</f>
        <v>-1459</v>
      </c>
      <c r="T212" s="113"/>
      <c r="U212" s="109"/>
      <c r="V212" s="50">
        <f>S222+U212</f>
        <v>-1459</v>
      </c>
      <c r="W212" s="172"/>
    </row>
    <row r="213" spans="1:23" ht="15.75" customHeight="1">
      <c r="A213" s="114"/>
      <c r="B213" s="117"/>
      <c r="C213" s="117"/>
      <c r="D213" s="19">
        <f t="shared" ref="D213:D222" si="126">D212+C213</f>
        <v>-1459</v>
      </c>
      <c r="E213" s="106"/>
      <c r="F213" s="107"/>
      <c r="G213" s="26">
        <f t="shared" ref="G213:G222" si="127">G212+F213</f>
        <v>-1459</v>
      </c>
      <c r="H213" s="133"/>
      <c r="I213" s="117"/>
      <c r="J213" s="19">
        <f t="shared" ref="J213:J222" si="128">J212+I213</f>
        <v>-1459</v>
      </c>
      <c r="K213" s="106"/>
      <c r="L213" s="107"/>
      <c r="M213" s="26">
        <f t="shared" ref="M213:M222" si="129">M212+L213</f>
        <v>-1459</v>
      </c>
      <c r="N213" s="117"/>
      <c r="O213" s="117"/>
      <c r="P213" s="38">
        <f t="shared" ref="P213:P222" si="130">P212+O213</f>
        <v>-1459</v>
      </c>
      <c r="Q213" s="106"/>
      <c r="R213" s="107"/>
      <c r="S213" s="26">
        <f t="shared" ref="S213:S222" si="131">S212+R213</f>
        <v>-1459</v>
      </c>
      <c r="T213" s="136"/>
      <c r="U213" s="136"/>
      <c r="V213" s="45">
        <f t="shared" ref="V213:V222" si="132">V212+U213</f>
        <v>-1459</v>
      </c>
      <c r="W213" s="143"/>
    </row>
    <row r="214" spans="1:23" ht="15.75" customHeight="1">
      <c r="A214" s="114"/>
      <c r="B214" s="117"/>
      <c r="C214" s="117"/>
      <c r="D214" s="19">
        <f t="shared" si="126"/>
        <v>-1459</v>
      </c>
      <c r="E214" s="106"/>
      <c r="F214" s="107"/>
      <c r="G214" s="26">
        <f t="shared" si="127"/>
        <v>-1459</v>
      </c>
      <c r="H214" s="133"/>
      <c r="I214" s="117"/>
      <c r="J214" s="19">
        <f t="shared" si="128"/>
        <v>-1459</v>
      </c>
      <c r="K214" s="106"/>
      <c r="L214" s="107"/>
      <c r="M214" s="26">
        <f t="shared" si="129"/>
        <v>-1459</v>
      </c>
      <c r="N214" s="117"/>
      <c r="O214" s="117"/>
      <c r="P214" s="38">
        <f t="shared" si="130"/>
        <v>-1459</v>
      </c>
      <c r="Q214" s="106"/>
      <c r="R214" s="107"/>
      <c r="S214" s="26">
        <f t="shared" si="131"/>
        <v>-1459</v>
      </c>
      <c r="T214" s="136"/>
      <c r="U214" s="136"/>
      <c r="V214" s="45">
        <f t="shared" si="132"/>
        <v>-1459</v>
      </c>
      <c r="W214" s="143"/>
    </row>
    <row r="215" spans="1:23" ht="15.75" customHeight="1">
      <c r="A215" s="114"/>
      <c r="B215" s="117"/>
      <c r="C215" s="117"/>
      <c r="D215" s="19">
        <f t="shared" si="126"/>
        <v>-1459</v>
      </c>
      <c r="E215" s="106"/>
      <c r="F215" s="107"/>
      <c r="G215" s="26">
        <f t="shared" si="127"/>
        <v>-1459</v>
      </c>
      <c r="H215" s="133"/>
      <c r="I215" s="117"/>
      <c r="J215" s="19">
        <f t="shared" si="128"/>
        <v>-1459</v>
      </c>
      <c r="K215" s="106"/>
      <c r="L215" s="107"/>
      <c r="M215" s="26">
        <f t="shared" si="129"/>
        <v>-1459</v>
      </c>
      <c r="N215" s="117"/>
      <c r="O215" s="117"/>
      <c r="P215" s="38">
        <f t="shared" si="130"/>
        <v>-1459</v>
      </c>
      <c r="Q215" s="106"/>
      <c r="R215" s="107"/>
      <c r="S215" s="26">
        <f t="shared" si="131"/>
        <v>-1459</v>
      </c>
      <c r="T215" s="136"/>
      <c r="U215" s="136"/>
      <c r="V215" s="45">
        <f t="shared" si="132"/>
        <v>-1459</v>
      </c>
      <c r="W215" s="143"/>
    </row>
    <row r="216" spans="1:23" ht="15.75" customHeight="1">
      <c r="A216" s="114"/>
      <c r="B216" s="117"/>
      <c r="C216" s="117"/>
      <c r="D216" s="19">
        <f t="shared" si="126"/>
        <v>-1459</v>
      </c>
      <c r="E216" s="106"/>
      <c r="F216" s="107"/>
      <c r="G216" s="26">
        <f t="shared" si="127"/>
        <v>-1459</v>
      </c>
      <c r="H216" s="133"/>
      <c r="I216" s="117"/>
      <c r="J216" s="19">
        <f t="shared" si="128"/>
        <v>-1459</v>
      </c>
      <c r="K216" s="106"/>
      <c r="L216" s="107"/>
      <c r="M216" s="26">
        <f t="shared" si="129"/>
        <v>-1459</v>
      </c>
      <c r="N216" s="117"/>
      <c r="O216" s="117"/>
      <c r="P216" s="38">
        <f t="shared" si="130"/>
        <v>-1459</v>
      </c>
      <c r="Q216" s="106"/>
      <c r="R216" s="107"/>
      <c r="S216" s="26">
        <f t="shared" si="131"/>
        <v>-1459</v>
      </c>
      <c r="T216" s="136"/>
      <c r="U216" s="136"/>
      <c r="V216" s="45">
        <f t="shared" si="132"/>
        <v>-1459</v>
      </c>
      <c r="W216" s="143"/>
    </row>
    <row r="217" spans="1:23" ht="15.75" customHeight="1">
      <c r="A217" s="114"/>
      <c r="B217" s="117"/>
      <c r="C217" s="117"/>
      <c r="D217" s="19">
        <f t="shared" si="126"/>
        <v>-1459</v>
      </c>
      <c r="E217" s="106"/>
      <c r="F217" s="107"/>
      <c r="G217" s="26">
        <f t="shared" si="127"/>
        <v>-1459</v>
      </c>
      <c r="H217" s="133"/>
      <c r="I217" s="117"/>
      <c r="J217" s="19">
        <f t="shared" si="128"/>
        <v>-1459</v>
      </c>
      <c r="K217" s="106"/>
      <c r="L217" s="107"/>
      <c r="M217" s="26">
        <f t="shared" si="129"/>
        <v>-1459</v>
      </c>
      <c r="N217" s="117"/>
      <c r="O217" s="117"/>
      <c r="P217" s="38">
        <f t="shared" si="130"/>
        <v>-1459</v>
      </c>
      <c r="Q217" s="106"/>
      <c r="R217" s="107"/>
      <c r="S217" s="26">
        <f t="shared" si="131"/>
        <v>-1459</v>
      </c>
      <c r="T217" s="136"/>
      <c r="U217" s="136"/>
      <c r="V217" s="45">
        <f t="shared" si="132"/>
        <v>-1459</v>
      </c>
      <c r="W217" s="143"/>
    </row>
    <row r="218" spans="1:23" ht="15.75" customHeight="1">
      <c r="A218" s="114"/>
      <c r="B218" s="117"/>
      <c r="C218" s="117"/>
      <c r="D218" s="19">
        <f t="shared" si="126"/>
        <v>-1459</v>
      </c>
      <c r="E218" s="106"/>
      <c r="F218" s="107"/>
      <c r="G218" s="26">
        <f t="shared" si="127"/>
        <v>-1459</v>
      </c>
      <c r="H218" s="133"/>
      <c r="I218" s="117"/>
      <c r="J218" s="19">
        <f t="shared" si="128"/>
        <v>-1459</v>
      </c>
      <c r="K218" s="106"/>
      <c r="L218" s="107"/>
      <c r="M218" s="26">
        <f t="shared" si="129"/>
        <v>-1459</v>
      </c>
      <c r="N218" s="118"/>
      <c r="O218" s="117"/>
      <c r="P218" s="38">
        <f t="shared" si="130"/>
        <v>-1459</v>
      </c>
      <c r="Q218" s="106"/>
      <c r="R218" s="107"/>
      <c r="S218" s="26">
        <f t="shared" si="131"/>
        <v>-1459</v>
      </c>
      <c r="T218" s="136"/>
      <c r="U218" s="136"/>
      <c r="V218" s="45">
        <f t="shared" si="132"/>
        <v>-1459</v>
      </c>
      <c r="W218" s="143"/>
    </row>
    <row r="219" spans="1:23" ht="15.75" customHeight="1">
      <c r="A219" s="114"/>
      <c r="B219" s="117"/>
      <c r="C219" s="117"/>
      <c r="D219" s="19">
        <f t="shared" si="126"/>
        <v>-1459</v>
      </c>
      <c r="E219" s="106"/>
      <c r="F219" s="107"/>
      <c r="G219" s="26">
        <f t="shared" si="127"/>
        <v>-1459</v>
      </c>
      <c r="H219" s="133"/>
      <c r="I219" s="117"/>
      <c r="J219" s="19">
        <f t="shared" si="128"/>
        <v>-1459</v>
      </c>
      <c r="K219" s="106"/>
      <c r="L219" s="107"/>
      <c r="M219" s="26">
        <f t="shared" si="129"/>
        <v>-1459</v>
      </c>
      <c r="N219" s="117"/>
      <c r="O219" s="117"/>
      <c r="P219" s="38">
        <f t="shared" si="130"/>
        <v>-1459</v>
      </c>
      <c r="Q219" s="106"/>
      <c r="R219" s="107"/>
      <c r="S219" s="26">
        <f t="shared" si="131"/>
        <v>-1459</v>
      </c>
      <c r="T219" s="136"/>
      <c r="U219" s="136"/>
      <c r="V219" s="45">
        <f t="shared" si="132"/>
        <v>-1459</v>
      </c>
      <c r="W219" s="143"/>
    </row>
    <row r="220" spans="1:23" ht="15.75" customHeight="1">
      <c r="A220" s="114"/>
      <c r="B220" s="117"/>
      <c r="C220" s="117"/>
      <c r="D220" s="19">
        <f t="shared" si="126"/>
        <v>-1459</v>
      </c>
      <c r="E220" s="106"/>
      <c r="F220" s="107"/>
      <c r="G220" s="26">
        <f t="shared" si="127"/>
        <v>-1459</v>
      </c>
      <c r="H220" s="133"/>
      <c r="I220" s="117"/>
      <c r="J220" s="19">
        <f t="shared" si="128"/>
        <v>-1459</v>
      </c>
      <c r="K220" s="106"/>
      <c r="L220" s="107"/>
      <c r="M220" s="26">
        <f t="shared" si="129"/>
        <v>-1459</v>
      </c>
      <c r="N220" s="117"/>
      <c r="O220" s="117"/>
      <c r="P220" s="38">
        <f t="shared" si="130"/>
        <v>-1459</v>
      </c>
      <c r="Q220" s="106"/>
      <c r="R220" s="107"/>
      <c r="S220" s="26">
        <f t="shared" si="131"/>
        <v>-1459</v>
      </c>
      <c r="T220" s="136"/>
      <c r="U220" s="136"/>
      <c r="V220" s="45">
        <f t="shared" si="132"/>
        <v>-1459</v>
      </c>
      <c r="W220" s="143"/>
    </row>
    <row r="221" spans="1:23" ht="15.75" customHeight="1">
      <c r="A221" s="114"/>
      <c r="B221" s="118"/>
      <c r="C221" s="117"/>
      <c r="D221" s="19">
        <f t="shared" si="126"/>
        <v>-1459</v>
      </c>
      <c r="E221" s="122"/>
      <c r="F221" s="123"/>
      <c r="G221" s="26">
        <f t="shared" si="127"/>
        <v>-1459</v>
      </c>
      <c r="H221" s="133"/>
      <c r="I221" s="117"/>
      <c r="J221" s="19">
        <f t="shared" si="128"/>
        <v>-1459</v>
      </c>
      <c r="K221" s="122"/>
      <c r="L221" s="123"/>
      <c r="M221" s="26">
        <f t="shared" si="129"/>
        <v>-1459</v>
      </c>
      <c r="N221" s="117"/>
      <c r="O221" s="117"/>
      <c r="P221" s="38">
        <f t="shared" si="130"/>
        <v>-1459</v>
      </c>
      <c r="Q221" s="122"/>
      <c r="R221" s="123"/>
      <c r="S221" s="26">
        <f t="shared" si="131"/>
        <v>-1459</v>
      </c>
      <c r="T221" s="136"/>
      <c r="U221" s="136"/>
      <c r="V221" s="45">
        <f t="shared" si="132"/>
        <v>-1459</v>
      </c>
      <c r="W221" s="143"/>
    </row>
    <row r="222" spans="1:23" ht="15.75" customHeight="1">
      <c r="A222" s="114"/>
      <c r="B222" s="128"/>
      <c r="C222" s="128"/>
      <c r="D222" s="29">
        <f t="shared" si="126"/>
        <v>-1459</v>
      </c>
      <c r="E222" s="122"/>
      <c r="F222" s="123"/>
      <c r="G222" s="53">
        <f t="shared" si="127"/>
        <v>-1459</v>
      </c>
      <c r="H222" s="140"/>
      <c r="I222" s="128"/>
      <c r="J222" s="29">
        <f t="shared" si="128"/>
        <v>-1459</v>
      </c>
      <c r="K222" s="122"/>
      <c r="L222" s="123"/>
      <c r="M222" s="39">
        <f t="shared" si="129"/>
        <v>-1459</v>
      </c>
      <c r="N222" s="128"/>
      <c r="O222" s="128"/>
      <c r="P222" s="40">
        <f t="shared" si="130"/>
        <v>-1459</v>
      </c>
      <c r="Q222" s="122"/>
      <c r="R222" s="123"/>
      <c r="S222" s="39">
        <f t="shared" si="131"/>
        <v>-1459</v>
      </c>
      <c r="T222" s="141"/>
      <c r="U222" s="141"/>
      <c r="V222" s="46">
        <f t="shared" si="132"/>
        <v>-1459</v>
      </c>
      <c r="W222" s="143"/>
    </row>
    <row r="223" spans="1:23" ht="15.75" customHeight="1">
      <c r="A223" s="87"/>
      <c r="B223" s="77">
        <f ca="1">IFERROR(__xludf.DUMMYFUNCTION("DATE(VALUE(LEFT($B$2,4)),VALUE(MID($B$2,6,2)),VALUE(RIGHT($B$2,2)))
+ (VALUE(REGEXEXTRACT(INDIRECT(""A""&amp;ROW()+1),""\d+""))-1)*7
+ INT((COLUMN()-COLUMN($B223))/3)
"),47251)</f>
        <v>47251</v>
      </c>
      <c r="C223" s="81"/>
      <c r="D223" s="82"/>
      <c r="E223" s="77">
        <f ca="1">IFERROR(__xludf.DUMMYFUNCTION("DATE(VALUE(LEFT($B$2,4)),VALUE(MID($B$2,6,2)),VALUE(RIGHT($B$2,2)))
+ (VALUE(REGEXEXTRACT(INDIRECT(""A""&amp;ROW()+1),""\d+""))-1)*7
+ INT((COLUMN()-COLUMN($B223))/3)
"),47252)</f>
        <v>47252</v>
      </c>
      <c r="F223" s="81"/>
      <c r="G223" s="82"/>
      <c r="H223" s="77">
        <f ca="1">IFERROR(__xludf.DUMMYFUNCTION("DATE(VALUE(LEFT($B$2,4)),VALUE(MID($B$2,6,2)),VALUE(RIGHT($B$2,2)))
+ (VALUE(REGEXEXTRACT(INDIRECT(""A""&amp;ROW()+1),""\d+""))-1)*7
+ INT((COLUMN()-COLUMN($B223))/3)
"),47253)</f>
        <v>47253</v>
      </c>
      <c r="I223" s="81"/>
      <c r="J223" s="82"/>
      <c r="K223" s="77">
        <f ca="1">IFERROR(__xludf.DUMMYFUNCTION("DATE(VALUE(LEFT($B$2,4)),VALUE(MID($B$2,6,2)),VALUE(RIGHT($B$2,2)))
+ (VALUE(REGEXEXTRACT(INDIRECT(""A""&amp;ROW()+1),""\d+""))-1)*7
+ INT((COLUMN()-COLUMN($B223))/3)
"),47254)</f>
        <v>47254</v>
      </c>
      <c r="L223" s="81"/>
      <c r="M223" s="82"/>
      <c r="N223" s="77">
        <f ca="1">IFERROR(__xludf.DUMMYFUNCTION("DATE(VALUE(LEFT($B$2,4)),VALUE(MID($B$2,6,2)),VALUE(RIGHT($B$2,2)))
+ (VALUE(REGEXEXTRACT(INDIRECT(""A""&amp;ROW()+1),""\d+""))-1)*7
+ INT((COLUMN()-COLUMN($B223))/3)
"),47255)</f>
        <v>47255</v>
      </c>
      <c r="O223" s="81"/>
      <c r="P223" s="82"/>
      <c r="Q223" s="77">
        <f ca="1">IFERROR(__xludf.DUMMYFUNCTION("DATE(VALUE(LEFT($B$2,4)),VALUE(MID($B$2,6,2)),VALUE(RIGHT($B$2,2)))
+ (VALUE(REGEXEXTRACT(INDIRECT(""A""&amp;ROW()+1),""\d+""))-1)*7
+ INT((COLUMN()-COLUMN($B223))/3)
"),47256)</f>
        <v>47256</v>
      </c>
      <c r="R223" s="81"/>
      <c r="S223" s="82"/>
      <c r="T223" s="77">
        <f ca="1">IFERROR(__xludf.DUMMYFUNCTION("DATE(VALUE(LEFT($B$2,4)),VALUE(MID($B$2,6,2)),VALUE(RIGHT($B$2,2)))
+ (VALUE(REGEXEXTRACT(INDIRECT(""A""&amp;ROW()+1),""\d+""))-1)*7
+ INT((COLUMN()-COLUMN($B223))/3)
"),47257)</f>
        <v>47257</v>
      </c>
      <c r="U223" s="81"/>
      <c r="V223" s="82"/>
      <c r="W223" s="143"/>
    </row>
    <row r="224" spans="1:23" ht="15.75" customHeight="1">
      <c r="A224" s="51" t="s">
        <v>72</v>
      </c>
      <c r="B224" s="112"/>
      <c r="C224" s="111"/>
      <c r="D224" s="17">
        <f>V222+C224</f>
        <v>-1459</v>
      </c>
      <c r="E224" s="109"/>
      <c r="F224" s="109"/>
      <c r="G224" s="54">
        <f>D234+F224</f>
        <v>-1459</v>
      </c>
      <c r="H224" s="110"/>
      <c r="I224" s="111"/>
      <c r="J224" s="17">
        <f>G234+I224</f>
        <v>-1459</v>
      </c>
      <c r="K224" s="109"/>
      <c r="L224" s="109"/>
      <c r="M224" s="35">
        <f>J234+L224</f>
        <v>-1459</v>
      </c>
      <c r="N224" s="112"/>
      <c r="O224" s="111"/>
      <c r="P224" s="17">
        <f>M234+O224</f>
        <v>-1459</v>
      </c>
      <c r="Q224" s="109"/>
      <c r="R224" s="109"/>
      <c r="S224" s="35">
        <f>P234+R224</f>
        <v>-1459</v>
      </c>
      <c r="T224" s="112"/>
      <c r="U224" s="111"/>
      <c r="V224" s="48">
        <f>S234+U224</f>
        <v>-1459</v>
      </c>
      <c r="W224" s="143"/>
    </row>
    <row r="225" spans="1:23" ht="15.75" customHeight="1">
      <c r="A225" s="114"/>
      <c r="B225" s="106"/>
      <c r="C225" s="107"/>
      <c r="D225" s="26">
        <f t="shared" ref="D225:D234" si="133">D224+C225</f>
        <v>-1459</v>
      </c>
      <c r="E225" s="117"/>
      <c r="F225" s="117"/>
      <c r="G225" s="19">
        <f t="shared" ref="G225:G234" si="134">G224+F225</f>
        <v>-1459</v>
      </c>
      <c r="H225" s="116"/>
      <c r="I225" s="107"/>
      <c r="J225" s="26">
        <f t="shared" ref="J225:J234" si="135">J224+I225</f>
        <v>-1459</v>
      </c>
      <c r="K225" s="117"/>
      <c r="L225" s="117"/>
      <c r="M225" s="38">
        <f t="shared" ref="M225:M234" si="136">M224+L225</f>
        <v>-1459</v>
      </c>
      <c r="N225" s="106"/>
      <c r="O225" s="107"/>
      <c r="P225" s="26">
        <f t="shared" ref="P225:P234" si="137">P224+O225</f>
        <v>-1459</v>
      </c>
      <c r="Q225" s="117"/>
      <c r="R225" s="117"/>
      <c r="S225" s="38">
        <f t="shared" ref="S225:S234" si="138">S224+R225</f>
        <v>-1459</v>
      </c>
      <c r="T225" s="106"/>
      <c r="U225" s="107"/>
      <c r="V225" s="20">
        <f t="shared" ref="V225:V234" si="139">V224+U225</f>
        <v>-1459</v>
      </c>
      <c r="W225" s="143"/>
    </row>
    <row r="226" spans="1:23" ht="15.75" customHeight="1">
      <c r="A226" s="114"/>
      <c r="B226" s="106"/>
      <c r="C226" s="107"/>
      <c r="D226" s="26">
        <f t="shared" si="133"/>
        <v>-1459</v>
      </c>
      <c r="E226" s="117"/>
      <c r="F226" s="117"/>
      <c r="G226" s="19">
        <f t="shared" si="134"/>
        <v>-1459</v>
      </c>
      <c r="H226" s="116"/>
      <c r="I226" s="107"/>
      <c r="J226" s="26">
        <f t="shared" si="135"/>
        <v>-1459</v>
      </c>
      <c r="K226" s="117"/>
      <c r="L226" s="117"/>
      <c r="M226" s="38">
        <f t="shared" si="136"/>
        <v>-1459</v>
      </c>
      <c r="N226" s="106"/>
      <c r="O226" s="107"/>
      <c r="P226" s="26">
        <f t="shared" si="137"/>
        <v>-1459</v>
      </c>
      <c r="Q226" s="117"/>
      <c r="R226" s="117"/>
      <c r="S226" s="38">
        <f t="shared" si="138"/>
        <v>-1459</v>
      </c>
      <c r="T226" s="106"/>
      <c r="U226" s="116"/>
      <c r="V226" s="20">
        <f t="shared" si="139"/>
        <v>-1459</v>
      </c>
      <c r="W226" s="143"/>
    </row>
    <row r="227" spans="1:23" ht="15.75" customHeight="1">
      <c r="A227" s="114"/>
      <c r="B227" s="106"/>
      <c r="C227" s="107"/>
      <c r="D227" s="26">
        <f t="shared" si="133"/>
        <v>-1459</v>
      </c>
      <c r="E227" s="117"/>
      <c r="F227" s="117"/>
      <c r="G227" s="19">
        <f t="shared" si="134"/>
        <v>-1459</v>
      </c>
      <c r="H227" s="116"/>
      <c r="I227" s="107"/>
      <c r="J227" s="26">
        <f t="shared" si="135"/>
        <v>-1459</v>
      </c>
      <c r="K227" s="117"/>
      <c r="L227" s="117"/>
      <c r="M227" s="38">
        <f t="shared" si="136"/>
        <v>-1459</v>
      </c>
      <c r="N227" s="106"/>
      <c r="O227" s="107"/>
      <c r="P227" s="26">
        <f t="shared" si="137"/>
        <v>-1459</v>
      </c>
      <c r="Q227" s="117"/>
      <c r="R227" s="117"/>
      <c r="S227" s="38">
        <f t="shared" si="138"/>
        <v>-1459</v>
      </c>
      <c r="T227" s="106"/>
      <c r="U227" s="116"/>
      <c r="V227" s="20">
        <f t="shared" si="139"/>
        <v>-1459</v>
      </c>
      <c r="W227" s="143"/>
    </row>
    <row r="228" spans="1:23" ht="15.75" customHeight="1">
      <c r="A228" s="114"/>
      <c r="B228" s="106"/>
      <c r="C228" s="107"/>
      <c r="D228" s="26">
        <f t="shared" si="133"/>
        <v>-1459</v>
      </c>
      <c r="E228" s="117"/>
      <c r="F228" s="117"/>
      <c r="G228" s="19">
        <f t="shared" si="134"/>
        <v>-1459</v>
      </c>
      <c r="H228" s="116"/>
      <c r="I228" s="107"/>
      <c r="J228" s="26">
        <f t="shared" si="135"/>
        <v>-1459</v>
      </c>
      <c r="K228" s="117"/>
      <c r="L228" s="117"/>
      <c r="M228" s="38">
        <f t="shared" si="136"/>
        <v>-1459</v>
      </c>
      <c r="N228" s="106"/>
      <c r="O228" s="107"/>
      <c r="P228" s="26">
        <f t="shared" si="137"/>
        <v>-1459</v>
      </c>
      <c r="Q228" s="133"/>
      <c r="R228" s="117"/>
      <c r="S228" s="38">
        <f t="shared" si="138"/>
        <v>-1459</v>
      </c>
      <c r="T228" s="106"/>
      <c r="U228" s="116"/>
      <c r="V228" s="20">
        <f t="shared" si="139"/>
        <v>-1459</v>
      </c>
      <c r="W228" s="143"/>
    </row>
    <row r="229" spans="1:23" ht="15.75" customHeight="1">
      <c r="A229" s="114"/>
      <c r="B229" s="106"/>
      <c r="C229" s="107"/>
      <c r="D229" s="26">
        <f t="shared" si="133"/>
        <v>-1459</v>
      </c>
      <c r="E229" s="117"/>
      <c r="F229" s="117"/>
      <c r="G229" s="19">
        <f t="shared" si="134"/>
        <v>-1459</v>
      </c>
      <c r="H229" s="116"/>
      <c r="I229" s="107"/>
      <c r="J229" s="26">
        <f t="shared" si="135"/>
        <v>-1459</v>
      </c>
      <c r="K229" s="117"/>
      <c r="L229" s="117"/>
      <c r="M229" s="38">
        <f t="shared" si="136"/>
        <v>-1459</v>
      </c>
      <c r="N229" s="106"/>
      <c r="O229" s="107"/>
      <c r="P229" s="26">
        <f t="shared" si="137"/>
        <v>-1459</v>
      </c>
      <c r="Q229" s="117"/>
      <c r="R229" s="117"/>
      <c r="S229" s="38">
        <f t="shared" si="138"/>
        <v>-1459</v>
      </c>
      <c r="T229" s="106"/>
      <c r="U229" s="116"/>
      <c r="V229" s="20">
        <f t="shared" si="139"/>
        <v>-1459</v>
      </c>
      <c r="W229" s="143"/>
    </row>
    <row r="230" spans="1:23" ht="15.75" customHeight="1">
      <c r="A230" s="114"/>
      <c r="B230" s="106"/>
      <c r="C230" s="107"/>
      <c r="D230" s="26">
        <f t="shared" si="133"/>
        <v>-1459</v>
      </c>
      <c r="E230" s="117"/>
      <c r="F230" s="117"/>
      <c r="G230" s="19">
        <f t="shared" si="134"/>
        <v>-1459</v>
      </c>
      <c r="H230" s="116"/>
      <c r="I230" s="107"/>
      <c r="J230" s="26">
        <f t="shared" si="135"/>
        <v>-1459</v>
      </c>
      <c r="K230" s="117"/>
      <c r="L230" s="117"/>
      <c r="M230" s="38">
        <f t="shared" si="136"/>
        <v>-1459</v>
      </c>
      <c r="N230" s="106"/>
      <c r="O230" s="107"/>
      <c r="P230" s="26">
        <f t="shared" si="137"/>
        <v>-1459</v>
      </c>
      <c r="Q230" s="117"/>
      <c r="R230" s="117"/>
      <c r="S230" s="38">
        <f t="shared" si="138"/>
        <v>-1459</v>
      </c>
      <c r="T230" s="106"/>
      <c r="U230" s="116"/>
      <c r="V230" s="20">
        <f t="shared" si="139"/>
        <v>-1459</v>
      </c>
      <c r="W230" s="143"/>
    </row>
    <row r="231" spans="1:23" ht="15.75" customHeight="1">
      <c r="A231" s="114"/>
      <c r="B231" s="106"/>
      <c r="C231" s="107"/>
      <c r="D231" s="26">
        <f t="shared" si="133"/>
        <v>-1459</v>
      </c>
      <c r="E231" s="117"/>
      <c r="F231" s="117"/>
      <c r="G231" s="19">
        <f t="shared" si="134"/>
        <v>-1459</v>
      </c>
      <c r="H231" s="116"/>
      <c r="I231" s="107"/>
      <c r="J231" s="26">
        <f t="shared" si="135"/>
        <v>-1459</v>
      </c>
      <c r="K231" s="117"/>
      <c r="L231" s="117"/>
      <c r="M231" s="38">
        <f t="shared" si="136"/>
        <v>-1459</v>
      </c>
      <c r="N231" s="106"/>
      <c r="O231" s="107"/>
      <c r="P231" s="26">
        <f t="shared" si="137"/>
        <v>-1459</v>
      </c>
      <c r="Q231" s="117"/>
      <c r="R231" s="117"/>
      <c r="S231" s="38">
        <f t="shared" si="138"/>
        <v>-1459</v>
      </c>
      <c r="T231" s="106"/>
      <c r="U231" s="116"/>
      <c r="V231" s="20">
        <f t="shared" si="139"/>
        <v>-1459</v>
      </c>
      <c r="W231" s="143"/>
    </row>
    <row r="232" spans="1:23" ht="15.75" customHeight="1">
      <c r="A232" s="114"/>
      <c r="B232" s="122"/>
      <c r="C232" s="123"/>
      <c r="D232" s="26">
        <f t="shared" si="133"/>
        <v>-1459</v>
      </c>
      <c r="E232" s="117"/>
      <c r="F232" s="117"/>
      <c r="G232" s="19">
        <f t="shared" si="134"/>
        <v>-1459</v>
      </c>
      <c r="H232" s="124"/>
      <c r="I232" s="123"/>
      <c r="J232" s="26">
        <f t="shared" si="135"/>
        <v>-1459</v>
      </c>
      <c r="K232" s="117"/>
      <c r="L232" s="117"/>
      <c r="M232" s="38">
        <f t="shared" si="136"/>
        <v>-1459</v>
      </c>
      <c r="N232" s="122"/>
      <c r="O232" s="123"/>
      <c r="P232" s="26">
        <f t="shared" si="137"/>
        <v>-1459</v>
      </c>
      <c r="Q232" s="117"/>
      <c r="R232" s="117"/>
      <c r="S232" s="38">
        <f t="shared" si="138"/>
        <v>-1459</v>
      </c>
      <c r="T232" s="106"/>
      <c r="U232" s="116"/>
      <c r="V232" s="20">
        <f t="shared" si="139"/>
        <v>-1459</v>
      </c>
      <c r="W232" s="143"/>
    </row>
    <row r="233" spans="1:23" ht="15.75" customHeight="1">
      <c r="A233" s="114"/>
      <c r="B233" s="122"/>
      <c r="C233" s="123"/>
      <c r="D233" s="26">
        <f t="shared" si="133"/>
        <v>-1459</v>
      </c>
      <c r="E233" s="117"/>
      <c r="F233" s="117"/>
      <c r="G233" s="19">
        <f t="shared" si="134"/>
        <v>-1459</v>
      </c>
      <c r="H233" s="124"/>
      <c r="I233" s="123"/>
      <c r="J233" s="26">
        <f t="shared" si="135"/>
        <v>-1459</v>
      </c>
      <c r="K233" s="117"/>
      <c r="L233" s="117"/>
      <c r="M233" s="38">
        <f t="shared" si="136"/>
        <v>-1459</v>
      </c>
      <c r="N233" s="122"/>
      <c r="O233" s="123"/>
      <c r="P233" s="26">
        <f t="shared" si="137"/>
        <v>-1459</v>
      </c>
      <c r="Q233" s="117"/>
      <c r="R233" s="117"/>
      <c r="S233" s="38">
        <f t="shared" si="138"/>
        <v>-1459</v>
      </c>
      <c r="T233" s="122"/>
      <c r="U233" s="124"/>
      <c r="V233" s="20">
        <f t="shared" si="139"/>
        <v>-1459</v>
      </c>
      <c r="W233" s="143"/>
    </row>
    <row r="234" spans="1:23" ht="15.75" customHeight="1">
      <c r="A234" s="114"/>
      <c r="B234" s="122"/>
      <c r="C234" s="123"/>
      <c r="D234" s="39">
        <f t="shared" si="133"/>
        <v>-1459</v>
      </c>
      <c r="E234" s="128"/>
      <c r="F234" s="128"/>
      <c r="G234" s="55">
        <f t="shared" si="134"/>
        <v>-1459</v>
      </c>
      <c r="H234" s="124"/>
      <c r="I234" s="123"/>
      <c r="J234" s="39">
        <f t="shared" si="135"/>
        <v>-1459</v>
      </c>
      <c r="K234" s="128"/>
      <c r="L234" s="128"/>
      <c r="M234" s="40">
        <f t="shared" si="136"/>
        <v>-1459</v>
      </c>
      <c r="N234" s="122"/>
      <c r="O234" s="123"/>
      <c r="P234" s="39">
        <f t="shared" si="137"/>
        <v>-1459</v>
      </c>
      <c r="Q234" s="128"/>
      <c r="R234" s="128"/>
      <c r="S234" s="40">
        <f t="shared" si="138"/>
        <v>-1459</v>
      </c>
      <c r="T234" s="122"/>
      <c r="U234" s="123"/>
      <c r="V234" s="49">
        <f t="shared" si="139"/>
        <v>-1459</v>
      </c>
      <c r="W234" s="143"/>
    </row>
    <row r="235" spans="1:23" ht="15.75" customHeight="1">
      <c r="A235" s="87"/>
      <c r="B235" s="77">
        <f ca="1">IFERROR(__xludf.DUMMYFUNCTION("DATE(VALUE(LEFT($B$2,4)),VALUE(MID($B$2,6,2)),VALUE(RIGHT($B$2,2)))
+ (VALUE(REGEXEXTRACT(INDIRECT(""A""&amp;ROW()+1),""\d+""))-1)*7
+ INT((COLUMN()-COLUMN($B235))/3)
"),47258)</f>
        <v>47258</v>
      </c>
      <c r="C235" s="81"/>
      <c r="D235" s="82"/>
      <c r="E235" s="77">
        <f ca="1">IFERROR(__xludf.DUMMYFUNCTION("DATE(VALUE(LEFT($B$2,4)),VALUE(MID($B$2,6,2)),VALUE(RIGHT($B$2,2)))
+ (VALUE(REGEXEXTRACT(INDIRECT(""A""&amp;ROW()+1),""\d+""))-1)*7
+ INT((COLUMN()-COLUMN($B235))/3)
"),47259)</f>
        <v>47259</v>
      </c>
      <c r="F235" s="81"/>
      <c r="G235" s="82"/>
      <c r="H235" s="77">
        <f ca="1">IFERROR(__xludf.DUMMYFUNCTION("DATE(VALUE(LEFT($B$2,4)),VALUE(MID($B$2,6,2)),VALUE(RIGHT($B$2,2)))
+ (VALUE(REGEXEXTRACT(INDIRECT(""A""&amp;ROW()+1),""\d+""))-1)*7
+ INT((COLUMN()-COLUMN($B235))/3)
"),47260)</f>
        <v>47260</v>
      </c>
      <c r="I235" s="81"/>
      <c r="J235" s="82"/>
      <c r="K235" s="77">
        <f ca="1">IFERROR(__xludf.DUMMYFUNCTION("DATE(VALUE(LEFT($B$2,4)),VALUE(MID($B$2,6,2)),VALUE(RIGHT($B$2,2)))
+ (VALUE(REGEXEXTRACT(INDIRECT(""A""&amp;ROW()+1),""\d+""))-1)*7
+ INT((COLUMN()-COLUMN($B235))/3)
"),47261)</f>
        <v>47261</v>
      </c>
      <c r="L235" s="81"/>
      <c r="M235" s="82"/>
      <c r="N235" s="77">
        <f ca="1">IFERROR(__xludf.DUMMYFUNCTION("DATE(VALUE(LEFT($B$2,4)),VALUE(MID($B$2,6,2)),VALUE(RIGHT($B$2,2)))
+ (VALUE(REGEXEXTRACT(INDIRECT(""A""&amp;ROW()+1),""\d+""))-1)*7
+ INT((COLUMN()-COLUMN($B235))/3)
"),47262)</f>
        <v>47262</v>
      </c>
      <c r="O235" s="81"/>
      <c r="P235" s="82"/>
      <c r="Q235" s="77">
        <f ca="1">IFERROR(__xludf.DUMMYFUNCTION("DATE(VALUE(LEFT($B$2,4)),VALUE(MID($B$2,6,2)),VALUE(RIGHT($B$2,2)))
+ (VALUE(REGEXEXTRACT(INDIRECT(""A""&amp;ROW()+1),""\d+""))-1)*7
+ INT((COLUMN()-COLUMN($B235))/3)
"),47263)</f>
        <v>47263</v>
      </c>
      <c r="R235" s="81"/>
      <c r="S235" s="82"/>
      <c r="T235" s="77">
        <f ca="1">IFERROR(__xludf.DUMMYFUNCTION("DATE(VALUE(LEFT($B$2,4)),VALUE(MID($B$2,6,2)),VALUE(RIGHT($B$2,2)))
+ (VALUE(REGEXEXTRACT(INDIRECT(""A""&amp;ROW()+1),""\d+""))-1)*7
+ INT((COLUMN()-COLUMN($B235))/3)
"),47264)</f>
        <v>47264</v>
      </c>
      <c r="U235" s="81"/>
      <c r="V235" s="82"/>
      <c r="W235" s="52" t="s">
        <v>20</v>
      </c>
    </row>
    <row r="236" spans="1:23" ht="15.75" customHeight="1">
      <c r="A236" s="47" t="s">
        <v>89</v>
      </c>
      <c r="B236" s="109"/>
      <c r="C236" s="109"/>
      <c r="D236" s="42">
        <f>V234+C236</f>
        <v>-1459</v>
      </c>
      <c r="E236" s="112"/>
      <c r="F236" s="111"/>
      <c r="G236" s="36">
        <f>D246+F236</f>
        <v>-1459</v>
      </c>
      <c r="H236" s="132"/>
      <c r="I236" s="109"/>
      <c r="J236" s="42">
        <f>G246+I236</f>
        <v>-1459</v>
      </c>
      <c r="K236" s="112"/>
      <c r="L236" s="111"/>
      <c r="M236" s="18">
        <f>J246+L236</f>
        <v>-1459</v>
      </c>
      <c r="N236" s="113"/>
      <c r="O236" s="109"/>
      <c r="P236" s="35">
        <f>M246+O236</f>
        <v>-1459</v>
      </c>
      <c r="Q236" s="112"/>
      <c r="R236" s="111"/>
      <c r="S236" s="18">
        <f>P246+R236</f>
        <v>-1459</v>
      </c>
      <c r="T236" s="113"/>
      <c r="U236" s="109"/>
      <c r="V236" s="50">
        <f>S246+U236</f>
        <v>-1459</v>
      </c>
      <c r="W236" s="172"/>
    </row>
    <row r="237" spans="1:23" ht="15.75" customHeight="1">
      <c r="A237" s="114"/>
      <c r="B237" s="117"/>
      <c r="C237" s="117"/>
      <c r="D237" s="19">
        <f t="shared" ref="D237:D246" si="140">D236+C237</f>
        <v>-1459</v>
      </c>
      <c r="E237" s="106"/>
      <c r="F237" s="107"/>
      <c r="G237" s="26">
        <f t="shared" ref="G237:G246" si="141">G236+F237</f>
        <v>-1459</v>
      </c>
      <c r="H237" s="133"/>
      <c r="I237" s="117"/>
      <c r="J237" s="19">
        <f t="shared" ref="J237:J246" si="142">J236+I237</f>
        <v>-1459</v>
      </c>
      <c r="K237" s="106"/>
      <c r="L237" s="107"/>
      <c r="M237" s="26">
        <f t="shared" ref="M237:M246" si="143">M236+L237</f>
        <v>-1459</v>
      </c>
      <c r="N237" s="118"/>
      <c r="O237" s="117"/>
      <c r="P237" s="38">
        <f t="shared" ref="P237:P246" si="144">P236+O237</f>
        <v>-1459</v>
      </c>
      <c r="Q237" s="106"/>
      <c r="R237" s="107"/>
      <c r="S237" s="26">
        <f t="shared" ref="S237:S246" si="145">S236+R237</f>
        <v>-1459</v>
      </c>
      <c r="T237" s="136"/>
      <c r="U237" s="136"/>
      <c r="V237" s="45">
        <f t="shared" ref="V237:V246" si="146">V236+U237</f>
        <v>-1459</v>
      </c>
      <c r="W237" s="143"/>
    </row>
    <row r="238" spans="1:23" ht="15.75" customHeight="1">
      <c r="A238" s="114"/>
      <c r="B238" s="117"/>
      <c r="C238" s="117"/>
      <c r="D238" s="19">
        <f t="shared" si="140"/>
        <v>-1459</v>
      </c>
      <c r="E238" s="106"/>
      <c r="F238" s="107"/>
      <c r="G238" s="26">
        <f t="shared" si="141"/>
        <v>-1459</v>
      </c>
      <c r="H238" s="133"/>
      <c r="I238" s="117"/>
      <c r="J238" s="19">
        <f t="shared" si="142"/>
        <v>-1459</v>
      </c>
      <c r="K238" s="106"/>
      <c r="L238" s="107"/>
      <c r="M238" s="26">
        <f t="shared" si="143"/>
        <v>-1459</v>
      </c>
      <c r="N238" s="117"/>
      <c r="O238" s="117"/>
      <c r="P238" s="38">
        <f t="shared" si="144"/>
        <v>-1459</v>
      </c>
      <c r="Q238" s="106"/>
      <c r="R238" s="107"/>
      <c r="S238" s="26">
        <f t="shared" si="145"/>
        <v>-1459</v>
      </c>
      <c r="T238" s="136"/>
      <c r="U238" s="136"/>
      <c r="V238" s="45">
        <f t="shared" si="146"/>
        <v>-1459</v>
      </c>
      <c r="W238" s="143"/>
    </row>
    <row r="239" spans="1:23" ht="15.75" customHeight="1">
      <c r="A239" s="114"/>
      <c r="B239" s="117"/>
      <c r="C239" s="117"/>
      <c r="D239" s="19">
        <f t="shared" si="140"/>
        <v>-1459</v>
      </c>
      <c r="E239" s="106"/>
      <c r="F239" s="107"/>
      <c r="G239" s="26">
        <f t="shared" si="141"/>
        <v>-1459</v>
      </c>
      <c r="H239" s="133"/>
      <c r="I239" s="117"/>
      <c r="J239" s="19">
        <f t="shared" si="142"/>
        <v>-1459</v>
      </c>
      <c r="K239" s="106"/>
      <c r="L239" s="107"/>
      <c r="M239" s="26">
        <f t="shared" si="143"/>
        <v>-1459</v>
      </c>
      <c r="N239" s="117"/>
      <c r="O239" s="117"/>
      <c r="P239" s="38">
        <f t="shared" si="144"/>
        <v>-1459</v>
      </c>
      <c r="Q239" s="106"/>
      <c r="R239" s="107"/>
      <c r="S239" s="26">
        <f t="shared" si="145"/>
        <v>-1459</v>
      </c>
      <c r="T239" s="136"/>
      <c r="U239" s="136"/>
      <c r="V239" s="45">
        <f t="shared" si="146"/>
        <v>-1459</v>
      </c>
      <c r="W239" s="143"/>
    </row>
    <row r="240" spans="1:23" ht="15.75" customHeight="1">
      <c r="A240" s="114"/>
      <c r="B240" s="117"/>
      <c r="C240" s="117"/>
      <c r="D240" s="19">
        <f t="shared" si="140"/>
        <v>-1459</v>
      </c>
      <c r="E240" s="106"/>
      <c r="F240" s="107"/>
      <c r="G240" s="26">
        <f t="shared" si="141"/>
        <v>-1459</v>
      </c>
      <c r="H240" s="133"/>
      <c r="I240" s="117"/>
      <c r="J240" s="19">
        <f t="shared" si="142"/>
        <v>-1459</v>
      </c>
      <c r="K240" s="106"/>
      <c r="L240" s="107"/>
      <c r="M240" s="26">
        <f t="shared" si="143"/>
        <v>-1459</v>
      </c>
      <c r="N240" s="117"/>
      <c r="O240" s="117"/>
      <c r="P240" s="38">
        <f t="shared" si="144"/>
        <v>-1459</v>
      </c>
      <c r="Q240" s="106"/>
      <c r="R240" s="107"/>
      <c r="S240" s="26">
        <f t="shared" si="145"/>
        <v>-1459</v>
      </c>
      <c r="T240" s="136"/>
      <c r="U240" s="136"/>
      <c r="V240" s="45">
        <f t="shared" si="146"/>
        <v>-1459</v>
      </c>
      <c r="W240" s="143"/>
    </row>
    <row r="241" spans="1:23" ht="15.75" customHeight="1">
      <c r="A241" s="114"/>
      <c r="B241" s="118"/>
      <c r="C241" s="117"/>
      <c r="D241" s="19">
        <f t="shared" si="140"/>
        <v>-1459</v>
      </c>
      <c r="E241" s="106"/>
      <c r="F241" s="107"/>
      <c r="G241" s="26">
        <f t="shared" si="141"/>
        <v>-1459</v>
      </c>
      <c r="H241" s="133"/>
      <c r="I241" s="117"/>
      <c r="J241" s="19">
        <f t="shared" si="142"/>
        <v>-1459</v>
      </c>
      <c r="K241" s="106"/>
      <c r="L241" s="107"/>
      <c r="M241" s="26">
        <f t="shared" si="143"/>
        <v>-1459</v>
      </c>
      <c r="N241" s="117"/>
      <c r="O241" s="117"/>
      <c r="P241" s="38">
        <f t="shared" si="144"/>
        <v>-1459</v>
      </c>
      <c r="Q241" s="106"/>
      <c r="R241" s="107"/>
      <c r="S241" s="26">
        <f t="shared" si="145"/>
        <v>-1459</v>
      </c>
      <c r="T241" s="136"/>
      <c r="U241" s="136"/>
      <c r="V241" s="45">
        <f t="shared" si="146"/>
        <v>-1459</v>
      </c>
      <c r="W241" s="143"/>
    </row>
    <row r="242" spans="1:23" ht="15.75" customHeight="1">
      <c r="A242" s="114"/>
      <c r="B242" s="117"/>
      <c r="C242" s="117"/>
      <c r="D242" s="19">
        <f t="shared" si="140"/>
        <v>-1459</v>
      </c>
      <c r="E242" s="106"/>
      <c r="F242" s="107"/>
      <c r="G242" s="26">
        <f t="shared" si="141"/>
        <v>-1459</v>
      </c>
      <c r="H242" s="133"/>
      <c r="I242" s="117"/>
      <c r="J242" s="19">
        <f t="shared" si="142"/>
        <v>-1459</v>
      </c>
      <c r="K242" s="106"/>
      <c r="L242" s="107"/>
      <c r="M242" s="26">
        <f t="shared" si="143"/>
        <v>-1459</v>
      </c>
      <c r="N242" s="117"/>
      <c r="O242" s="117"/>
      <c r="P242" s="38">
        <f t="shared" si="144"/>
        <v>-1459</v>
      </c>
      <c r="Q242" s="106"/>
      <c r="R242" s="107"/>
      <c r="S242" s="26">
        <f t="shared" si="145"/>
        <v>-1459</v>
      </c>
      <c r="T242" s="136"/>
      <c r="U242" s="136"/>
      <c r="V242" s="45">
        <f t="shared" si="146"/>
        <v>-1459</v>
      </c>
      <c r="W242" s="143"/>
    </row>
    <row r="243" spans="1:23" ht="15.75" customHeight="1">
      <c r="A243" s="114"/>
      <c r="B243" s="117"/>
      <c r="C243" s="117"/>
      <c r="D243" s="19">
        <f t="shared" si="140"/>
        <v>-1459</v>
      </c>
      <c r="E243" s="106"/>
      <c r="F243" s="107"/>
      <c r="G243" s="26">
        <f t="shared" si="141"/>
        <v>-1459</v>
      </c>
      <c r="H243" s="133"/>
      <c r="I243" s="117"/>
      <c r="J243" s="19">
        <f t="shared" si="142"/>
        <v>-1459</v>
      </c>
      <c r="K243" s="106"/>
      <c r="L243" s="107"/>
      <c r="M243" s="26">
        <f t="shared" si="143"/>
        <v>-1459</v>
      </c>
      <c r="N243" s="117"/>
      <c r="O243" s="117"/>
      <c r="P243" s="38">
        <f t="shared" si="144"/>
        <v>-1459</v>
      </c>
      <c r="Q243" s="106"/>
      <c r="R243" s="107"/>
      <c r="S243" s="26">
        <f t="shared" si="145"/>
        <v>-1459</v>
      </c>
      <c r="T243" s="136"/>
      <c r="U243" s="136"/>
      <c r="V243" s="45">
        <f t="shared" si="146"/>
        <v>-1459</v>
      </c>
      <c r="W243" s="143"/>
    </row>
    <row r="244" spans="1:23" ht="15.75" customHeight="1">
      <c r="A244" s="114"/>
      <c r="B244" s="117"/>
      <c r="C244" s="117"/>
      <c r="D244" s="19">
        <f t="shared" si="140"/>
        <v>-1459</v>
      </c>
      <c r="E244" s="106"/>
      <c r="F244" s="107"/>
      <c r="G244" s="26">
        <f t="shared" si="141"/>
        <v>-1459</v>
      </c>
      <c r="H244" s="133"/>
      <c r="I244" s="117"/>
      <c r="J244" s="19">
        <f t="shared" si="142"/>
        <v>-1459</v>
      </c>
      <c r="K244" s="106"/>
      <c r="L244" s="107"/>
      <c r="M244" s="26">
        <f t="shared" si="143"/>
        <v>-1459</v>
      </c>
      <c r="N244" s="117"/>
      <c r="O244" s="117"/>
      <c r="P244" s="38">
        <f t="shared" si="144"/>
        <v>-1459</v>
      </c>
      <c r="Q244" s="106"/>
      <c r="R244" s="107"/>
      <c r="S244" s="26">
        <f t="shared" si="145"/>
        <v>-1459</v>
      </c>
      <c r="T244" s="136"/>
      <c r="U244" s="136"/>
      <c r="V244" s="45">
        <f t="shared" si="146"/>
        <v>-1459</v>
      </c>
      <c r="W244" s="143"/>
    </row>
    <row r="245" spans="1:23" ht="15.75" customHeight="1">
      <c r="A245" s="114"/>
      <c r="B245" s="117"/>
      <c r="C245" s="117"/>
      <c r="D245" s="19">
        <f t="shared" si="140"/>
        <v>-1459</v>
      </c>
      <c r="E245" s="122"/>
      <c r="F245" s="123"/>
      <c r="G245" s="26">
        <f t="shared" si="141"/>
        <v>-1459</v>
      </c>
      <c r="H245" s="133"/>
      <c r="I245" s="117"/>
      <c r="J245" s="19">
        <f t="shared" si="142"/>
        <v>-1459</v>
      </c>
      <c r="K245" s="122"/>
      <c r="L245" s="123"/>
      <c r="M245" s="26">
        <f t="shared" si="143"/>
        <v>-1459</v>
      </c>
      <c r="N245" s="117"/>
      <c r="O245" s="117"/>
      <c r="P245" s="38">
        <f t="shared" si="144"/>
        <v>-1459</v>
      </c>
      <c r="Q245" s="122"/>
      <c r="R245" s="123"/>
      <c r="S245" s="26">
        <f t="shared" si="145"/>
        <v>-1459</v>
      </c>
      <c r="T245" s="136"/>
      <c r="U245" s="136"/>
      <c r="V245" s="45">
        <f t="shared" si="146"/>
        <v>-1459</v>
      </c>
      <c r="W245" s="143"/>
    </row>
    <row r="246" spans="1:23" ht="15.75" customHeight="1">
      <c r="A246" s="114"/>
      <c r="B246" s="128"/>
      <c r="C246" s="128"/>
      <c r="D246" s="29">
        <f t="shared" si="140"/>
        <v>-1459</v>
      </c>
      <c r="E246" s="122"/>
      <c r="F246" s="123"/>
      <c r="G246" s="53">
        <f t="shared" si="141"/>
        <v>-1459</v>
      </c>
      <c r="H246" s="140"/>
      <c r="I246" s="128"/>
      <c r="J246" s="29">
        <f t="shared" si="142"/>
        <v>-1459</v>
      </c>
      <c r="K246" s="122"/>
      <c r="L246" s="123"/>
      <c r="M246" s="39">
        <f t="shared" si="143"/>
        <v>-1459</v>
      </c>
      <c r="N246" s="128"/>
      <c r="O246" s="128"/>
      <c r="P246" s="40">
        <f t="shared" si="144"/>
        <v>-1459</v>
      </c>
      <c r="Q246" s="122"/>
      <c r="R246" s="123"/>
      <c r="S246" s="39">
        <f t="shared" si="145"/>
        <v>-1459</v>
      </c>
      <c r="T246" s="141"/>
      <c r="U246" s="141"/>
      <c r="V246" s="46">
        <f t="shared" si="146"/>
        <v>-1459</v>
      </c>
      <c r="W246" s="143"/>
    </row>
    <row r="247" spans="1:23" ht="15.75" customHeight="1">
      <c r="A247" s="87"/>
      <c r="B247" s="77">
        <f ca="1">IFERROR(__xludf.DUMMYFUNCTION("DATE(VALUE(LEFT($B$2,4)),VALUE(MID($B$2,6,2)),VALUE(RIGHT($B$2,2)))
+ (VALUE(REGEXEXTRACT(INDIRECT(""A""&amp;ROW()+1),""\d+""))-1)*7
+ INT((COLUMN()-COLUMN($B247))/3)
"),47265)</f>
        <v>47265</v>
      </c>
      <c r="C247" s="81"/>
      <c r="D247" s="82"/>
      <c r="E247" s="77">
        <f ca="1">IFERROR(__xludf.DUMMYFUNCTION("DATE(VALUE(LEFT($B$2,4)),VALUE(MID($B$2,6,2)),VALUE(RIGHT($B$2,2)))
+ (VALUE(REGEXEXTRACT(INDIRECT(""A""&amp;ROW()+1),""\d+""))-1)*7
+ INT((COLUMN()-COLUMN($B247))/3)
"),47266)</f>
        <v>47266</v>
      </c>
      <c r="F247" s="81"/>
      <c r="G247" s="82"/>
      <c r="H247" s="77">
        <f ca="1">IFERROR(__xludf.DUMMYFUNCTION("DATE(VALUE(LEFT($B$2,4)),VALUE(MID($B$2,6,2)),VALUE(RIGHT($B$2,2)))
+ (VALUE(REGEXEXTRACT(INDIRECT(""A""&amp;ROW()+1),""\d+""))-1)*7
+ INT((COLUMN()-COLUMN($B247))/3)
"),47267)</f>
        <v>47267</v>
      </c>
      <c r="I247" s="81"/>
      <c r="J247" s="82"/>
      <c r="K247" s="77">
        <f ca="1">IFERROR(__xludf.DUMMYFUNCTION("DATE(VALUE(LEFT($B$2,4)),VALUE(MID($B$2,6,2)),VALUE(RIGHT($B$2,2)))
+ (VALUE(REGEXEXTRACT(INDIRECT(""A""&amp;ROW()+1),""\d+""))-1)*7
+ INT((COLUMN()-COLUMN($B247))/3)
"),47268)</f>
        <v>47268</v>
      </c>
      <c r="L247" s="81"/>
      <c r="M247" s="82"/>
      <c r="N247" s="77">
        <f ca="1">IFERROR(__xludf.DUMMYFUNCTION("DATE(VALUE(LEFT($B$2,4)),VALUE(MID($B$2,6,2)),VALUE(RIGHT($B$2,2)))
+ (VALUE(REGEXEXTRACT(INDIRECT(""A""&amp;ROW()+1),""\d+""))-1)*7
+ INT((COLUMN()-COLUMN($B247))/3)
"),47269)</f>
        <v>47269</v>
      </c>
      <c r="O247" s="81"/>
      <c r="P247" s="82"/>
      <c r="Q247" s="77">
        <f ca="1">IFERROR(__xludf.DUMMYFUNCTION("DATE(VALUE(LEFT($B$2,4)),VALUE(MID($B$2,6,2)),VALUE(RIGHT($B$2,2)))
+ (VALUE(REGEXEXTRACT(INDIRECT(""A""&amp;ROW()+1),""\d+""))-1)*7
+ INT((COLUMN()-COLUMN($B247))/3)
"),47270)</f>
        <v>47270</v>
      </c>
      <c r="R247" s="81"/>
      <c r="S247" s="82"/>
      <c r="T247" s="77">
        <f ca="1">IFERROR(__xludf.DUMMYFUNCTION("DATE(VALUE(LEFT($B$2,4)),VALUE(MID($B$2,6,2)),VALUE(RIGHT($B$2,2)))
+ (VALUE(REGEXEXTRACT(INDIRECT(""A""&amp;ROW()+1),""\d+""))-1)*7
+ INT((COLUMN()-COLUMN($B247))/3)
"),47271)</f>
        <v>47271</v>
      </c>
      <c r="U247" s="81"/>
      <c r="V247" s="82"/>
      <c r="W247" s="143"/>
    </row>
    <row r="248" spans="1:23" ht="15.75" customHeight="1">
      <c r="A248" s="51" t="s">
        <v>98</v>
      </c>
      <c r="B248" s="112"/>
      <c r="C248" s="111"/>
      <c r="D248" s="17">
        <f>V246+C248</f>
        <v>-1459</v>
      </c>
      <c r="E248" s="109"/>
      <c r="F248" s="109"/>
      <c r="G248" s="42">
        <f>D258+F248</f>
        <v>-1459</v>
      </c>
      <c r="H248" s="112"/>
      <c r="I248" s="111"/>
      <c r="J248" s="17">
        <f>G258+I248</f>
        <v>-1459</v>
      </c>
      <c r="K248" s="109"/>
      <c r="L248" s="109"/>
      <c r="M248" s="35">
        <f>J258+L248</f>
        <v>-1459</v>
      </c>
      <c r="N248" s="112"/>
      <c r="O248" s="111"/>
      <c r="P248" s="17">
        <f>M258+O248</f>
        <v>-1459</v>
      </c>
      <c r="Q248" s="109"/>
      <c r="R248" s="109"/>
      <c r="S248" s="35">
        <f>P258+R248</f>
        <v>-1459</v>
      </c>
      <c r="T248" s="112"/>
      <c r="U248" s="111"/>
      <c r="V248" s="48">
        <f>S258+U248</f>
        <v>-1459</v>
      </c>
      <c r="W248" s="143"/>
    </row>
    <row r="249" spans="1:23" ht="15.75" customHeight="1">
      <c r="A249" s="114"/>
      <c r="B249" s="106"/>
      <c r="C249" s="107"/>
      <c r="D249" s="26">
        <f t="shared" ref="D249:D258" si="147">D248+C249</f>
        <v>-1459</v>
      </c>
      <c r="E249" s="117"/>
      <c r="F249" s="117"/>
      <c r="G249" s="19">
        <f t="shared" ref="G249:G258" si="148">G248+F249</f>
        <v>-1459</v>
      </c>
      <c r="H249" s="106"/>
      <c r="I249" s="107"/>
      <c r="J249" s="26">
        <f t="shared" ref="J249:J258" si="149">J248+I249</f>
        <v>-1459</v>
      </c>
      <c r="K249" s="117"/>
      <c r="L249" s="117"/>
      <c r="M249" s="38">
        <f t="shared" ref="M249:M258" si="150">M248+L249</f>
        <v>-1459</v>
      </c>
      <c r="N249" s="106"/>
      <c r="O249" s="107"/>
      <c r="P249" s="26">
        <f t="shared" ref="P249:P258" si="151">P248+O249</f>
        <v>-1459</v>
      </c>
      <c r="Q249" s="117"/>
      <c r="R249" s="117"/>
      <c r="S249" s="38">
        <f t="shared" ref="S249:S258" si="152">S248+R249</f>
        <v>-1459</v>
      </c>
      <c r="T249" s="106"/>
      <c r="U249" s="107"/>
      <c r="V249" s="20">
        <f t="shared" ref="V249:V258" si="153">V248+U249</f>
        <v>-1459</v>
      </c>
      <c r="W249" s="143"/>
    </row>
    <row r="250" spans="1:23" ht="15.75" customHeight="1">
      <c r="A250" s="114"/>
      <c r="B250" s="106"/>
      <c r="C250" s="107"/>
      <c r="D250" s="26">
        <f t="shared" si="147"/>
        <v>-1459</v>
      </c>
      <c r="E250" s="117"/>
      <c r="F250" s="117"/>
      <c r="G250" s="19">
        <f t="shared" si="148"/>
        <v>-1459</v>
      </c>
      <c r="H250" s="106"/>
      <c r="I250" s="107"/>
      <c r="J250" s="26">
        <f t="shared" si="149"/>
        <v>-1459</v>
      </c>
      <c r="K250" s="117"/>
      <c r="L250" s="117"/>
      <c r="M250" s="38">
        <f t="shared" si="150"/>
        <v>-1459</v>
      </c>
      <c r="N250" s="106"/>
      <c r="O250" s="107"/>
      <c r="P250" s="26">
        <f t="shared" si="151"/>
        <v>-1459</v>
      </c>
      <c r="Q250" s="117"/>
      <c r="R250" s="117"/>
      <c r="S250" s="38">
        <f t="shared" si="152"/>
        <v>-1459</v>
      </c>
      <c r="T250" s="106"/>
      <c r="U250" s="116"/>
      <c r="V250" s="20">
        <f t="shared" si="153"/>
        <v>-1459</v>
      </c>
      <c r="W250" s="143"/>
    </row>
    <row r="251" spans="1:23" ht="15.75" customHeight="1">
      <c r="A251" s="114"/>
      <c r="B251" s="106"/>
      <c r="C251" s="107"/>
      <c r="D251" s="26">
        <f t="shared" si="147"/>
        <v>-1459</v>
      </c>
      <c r="E251" s="117"/>
      <c r="F251" s="117"/>
      <c r="G251" s="19">
        <f t="shared" si="148"/>
        <v>-1459</v>
      </c>
      <c r="H251" s="106"/>
      <c r="I251" s="107"/>
      <c r="J251" s="26">
        <f t="shared" si="149"/>
        <v>-1459</v>
      </c>
      <c r="K251" s="117"/>
      <c r="L251" s="117"/>
      <c r="M251" s="38">
        <f t="shared" si="150"/>
        <v>-1459</v>
      </c>
      <c r="N251" s="106"/>
      <c r="O251" s="107"/>
      <c r="P251" s="26">
        <f t="shared" si="151"/>
        <v>-1459</v>
      </c>
      <c r="Q251" s="117"/>
      <c r="R251" s="117"/>
      <c r="S251" s="38">
        <f t="shared" si="152"/>
        <v>-1459</v>
      </c>
      <c r="T251" s="106"/>
      <c r="U251" s="116"/>
      <c r="V251" s="20">
        <f t="shared" si="153"/>
        <v>-1459</v>
      </c>
      <c r="W251" s="143"/>
    </row>
    <row r="252" spans="1:23" ht="15.75" customHeight="1">
      <c r="A252" s="114"/>
      <c r="B252" s="106"/>
      <c r="C252" s="107"/>
      <c r="D252" s="26">
        <f t="shared" si="147"/>
        <v>-1459</v>
      </c>
      <c r="E252" s="117"/>
      <c r="F252" s="117"/>
      <c r="G252" s="19">
        <f t="shared" si="148"/>
        <v>-1459</v>
      </c>
      <c r="H252" s="106"/>
      <c r="I252" s="107"/>
      <c r="J252" s="26">
        <f t="shared" si="149"/>
        <v>-1459</v>
      </c>
      <c r="K252" s="117"/>
      <c r="L252" s="117"/>
      <c r="M252" s="38">
        <f t="shared" si="150"/>
        <v>-1459</v>
      </c>
      <c r="N252" s="106"/>
      <c r="O252" s="107"/>
      <c r="P252" s="26">
        <f t="shared" si="151"/>
        <v>-1459</v>
      </c>
      <c r="Q252" s="117"/>
      <c r="R252" s="117"/>
      <c r="S252" s="38">
        <f t="shared" si="152"/>
        <v>-1459</v>
      </c>
      <c r="T252" s="106"/>
      <c r="U252" s="116"/>
      <c r="V252" s="20">
        <f t="shared" si="153"/>
        <v>-1459</v>
      </c>
      <c r="W252" s="143"/>
    </row>
    <row r="253" spans="1:23" ht="15.75" customHeight="1">
      <c r="A253" s="114"/>
      <c r="B253" s="106"/>
      <c r="C253" s="107"/>
      <c r="D253" s="26">
        <f t="shared" si="147"/>
        <v>-1459</v>
      </c>
      <c r="E253" s="117"/>
      <c r="F253" s="117"/>
      <c r="G253" s="19">
        <f t="shared" si="148"/>
        <v>-1459</v>
      </c>
      <c r="H253" s="106"/>
      <c r="I253" s="107"/>
      <c r="J253" s="26">
        <f t="shared" si="149"/>
        <v>-1459</v>
      </c>
      <c r="K253" s="117"/>
      <c r="L253" s="117"/>
      <c r="M253" s="38">
        <f t="shared" si="150"/>
        <v>-1459</v>
      </c>
      <c r="N253" s="106"/>
      <c r="O253" s="107"/>
      <c r="P253" s="26">
        <f t="shared" si="151"/>
        <v>-1459</v>
      </c>
      <c r="Q253" s="117"/>
      <c r="R253" s="117"/>
      <c r="S253" s="38">
        <f t="shared" si="152"/>
        <v>-1459</v>
      </c>
      <c r="T253" s="106"/>
      <c r="U253" s="116"/>
      <c r="V253" s="20">
        <f t="shared" si="153"/>
        <v>-1459</v>
      </c>
      <c r="W253" s="143"/>
    </row>
    <row r="254" spans="1:23" ht="15.75" customHeight="1">
      <c r="A254" s="114"/>
      <c r="B254" s="106"/>
      <c r="C254" s="107"/>
      <c r="D254" s="26">
        <f t="shared" si="147"/>
        <v>-1459</v>
      </c>
      <c r="E254" s="117"/>
      <c r="F254" s="117"/>
      <c r="G254" s="19">
        <f t="shared" si="148"/>
        <v>-1459</v>
      </c>
      <c r="H254" s="106"/>
      <c r="I254" s="107"/>
      <c r="J254" s="26">
        <f t="shared" si="149"/>
        <v>-1459</v>
      </c>
      <c r="K254" s="117"/>
      <c r="L254" s="117"/>
      <c r="M254" s="38">
        <f t="shared" si="150"/>
        <v>-1459</v>
      </c>
      <c r="N254" s="106"/>
      <c r="O254" s="107"/>
      <c r="P254" s="26">
        <f t="shared" si="151"/>
        <v>-1459</v>
      </c>
      <c r="Q254" s="117"/>
      <c r="R254" s="117"/>
      <c r="S254" s="38">
        <f t="shared" si="152"/>
        <v>-1459</v>
      </c>
      <c r="T254" s="106"/>
      <c r="U254" s="116"/>
      <c r="V254" s="20">
        <f t="shared" si="153"/>
        <v>-1459</v>
      </c>
      <c r="W254" s="143"/>
    </row>
    <row r="255" spans="1:23" ht="15.75" customHeight="1">
      <c r="A255" s="114"/>
      <c r="B255" s="106"/>
      <c r="C255" s="107"/>
      <c r="D255" s="26">
        <f t="shared" si="147"/>
        <v>-1459</v>
      </c>
      <c r="E255" s="117"/>
      <c r="F255" s="117"/>
      <c r="G255" s="19">
        <f t="shared" si="148"/>
        <v>-1459</v>
      </c>
      <c r="H255" s="106"/>
      <c r="I255" s="107"/>
      <c r="J255" s="26">
        <f t="shared" si="149"/>
        <v>-1459</v>
      </c>
      <c r="K255" s="117"/>
      <c r="L255" s="117"/>
      <c r="M255" s="38">
        <f t="shared" si="150"/>
        <v>-1459</v>
      </c>
      <c r="N255" s="106"/>
      <c r="O255" s="107"/>
      <c r="P255" s="26">
        <f t="shared" si="151"/>
        <v>-1459</v>
      </c>
      <c r="Q255" s="117"/>
      <c r="R255" s="117"/>
      <c r="S255" s="38">
        <f t="shared" si="152"/>
        <v>-1459</v>
      </c>
      <c r="T255" s="106"/>
      <c r="U255" s="116"/>
      <c r="V255" s="20">
        <f t="shared" si="153"/>
        <v>-1459</v>
      </c>
      <c r="W255" s="143"/>
    </row>
    <row r="256" spans="1:23" ht="15.75" customHeight="1">
      <c r="A256" s="114"/>
      <c r="B256" s="122"/>
      <c r="C256" s="123"/>
      <c r="D256" s="26">
        <f t="shared" si="147"/>
        <v>-1459</v>
      </c>
      <c r="E256" s="117"/>
      <c r="F256" s="117"/>
      <c r="G256" s="19">
        <f t="shared" si="148"/>
        <v>-1459</v>
      </c>
      <c r="H256" s="122"/>
      <c r="I256" s="123"/>
      <c r="J256" s="26">
        <f t="shared" si="149"/>
        <v>-1459</v>
      </c>
      <c r="K256" s="117"/>
      <c r="L256" s="117"/>
      <c r="M256" s="38">
        <f t="shared" si="150"/>
        <v>-1459</v>
      </c>
      <c r="N256" s="106"/>
      <c r="O256" s="107"/>
      <c r="P256" s="26">
        <f t="shared" si="151"/>
        <v>-1459</v>
      </c>
      <c r="Q256" s="117"/>
      <c r="R256" s="117"/>
      <c r="S256" s="38">
        <f t="shared" si="152"/>
        <v>-1459</v>
      </c>
      <c r="T256" s="106"/>
      <c r="U256" s="116"/>
      <c r="V256" s="20">
        <f t="shared" si="153"/>
        <v>-1459</v>
      </c>
      <c r="W256" s="143"/>
    </row>
    <row r="257" spans="1:23" ht="15.75" customHeight="1">
      <c r="A257" s="114"/>
      <c r="B257" s="122"/>
      <c r="C257" s="123"/>
      <c r="D257" s="26">
        <f t="shared" si="147"/>
        <v>-1459</v>
      </c>
      <c r="E257" s="117"/>
      <c r="F257" s="117"/>
      <c r="G257" s="19">
        <f t="shared" si="148"/>
        <v>-1459</v>
      </c>
      <c r="H257" s="122"/>
      <c r="I257" s="123"/>
      <c r="J257" s="26">
        <f t="shared" si="149"/>
        <v>-1459</v>
      </c>
      <c r="K257" s="117"/>
      <c r="L257" s="117"/>
      <c r="M257" s="38">
        <f t="shared" si="150"/>
        <v>-1459</v>
      </c>
      <c r="N257" s="122"/>
      <c r="O257" s="123"/>
      <c r="P257" s="26">
        <f t="shared" si="151"/>
        <v>-1459</v>
      </c>
      <c r="Q257" s="117"/>
      <c r="R257" s="117"/>
      <c r="S257" s="38">
        <f t="shared" si="152"/>
        <v>-1459</v>
      </c>
      <c r="T257" s="122"/>
      <c r="U257" s="124"/>
      <c r="V257" s="20">
        <f t="shared" si="153"/>
        <v>-1459</v>
      </c>
      <c r="W257" s="143"/>
    </row>
    <row r="258" spans="1:23" ht="15.75" customHeight="1">
      <c r="A258" s="114"/>
      <c r="B258" s="122"/>
      <c r="C258" s="123"/>
      <c r="D258" s="39">
        <f t="shared" si="147"/>
        <v>-1459</v>
      </c>
      <c r="E258" s="128"/>
      <c r="F258" s="128"/>
      <c r="G258" s="29">
        <f t="shared" si="148"/>
        <v>-1459</v>
      </c>
      <c r="H258" s="122"/>
      <c r="I258" s="123"/>
      <c r="J258" s="39">
        <f t="shared" si="149"/>
        <v>-1459</v>
      </c>
      <c r="K258" s="128"/>
      <c r="L258" s="128"/>
      <c r="M258" s="40">
        <f t="shared" si="150"/>
        <v>-1459</v>
      </c>
      <c r="N258" s="122"/>
      <c r="O258" s="123"/>
      <c r="P258" s="39">
        <f t="shared" si="151"/>
        <v>-1459</v>
      </c>
      <c r="Q258" s="128"/>
      <c r="R258" s="128"/>
      <c r="S258" s="40">
        <f t="shared" si="152"/>
        <v>-1459</v>
      </c>
      <c r="T258" s="122"/>
      <c r="U258" s="123"/>
      <c r="V258" s="49">
        <f t="shared" si="153"/>
        <v>-1459</v>
      </c>
      <c r="W258" s="143"/>
    </row>
    <row r="259" spans="1:23" ht="15.75" customHeight="1">
      <c r="A259" s="87"/>
      <c r="B259" s="77">
        <f ca="1">IFERROR(__xludf.DUMMYFUNCTION("DATE(VALUE(LEFT($B$2,4)),VALUE(MID($B$2,6,2)),VALUE(RIGHT($B$2,2)))
+ (VALUE(REGEXEXTRACT(INDIRECT(""A""&amp;ROW()+1),""\d+""))-1)*7
+ INT((COLUMN()-COLUMN($B259))/3)
"),47272)</f>
        <v>47272</v>
      </c>
      <c r="C259" s="81"/>
      <c r="D259" s="82"/>
      <c r="E259" s="77">
        <f ca="1">IFERROR(__xludf.DUMMYFUNCTION("DATE(VALUE(LEFT($B$2,4)),VALUE(MID($B$2,6,2)),VALUE(RIGHT($B$2,2)))
+ (VALUE(REGEXEXTRACT(INDIRECT(""A""&amp;ROW()+1),""\d+""))-1)*7
+ INT((COLUMN()-COLUMN($B259))/3)
"),47273)</f>
        <v>47273</v>
      </c>
      <c r="F259" s="81"/>
      <c r="G259" s="82"/>
      <c r="H259" s="77">
        <f ca="1">IFERROR(__xludf.DUMMYFUNCTION("DATE(VALUE(LEFT($B$2,4)),VALUE(MID($B$2,6,2)),VALUE(RIGHT($B$2,2)))
+ (VALUE(REGEXEXTRACT(INDIRECT(""A""&amp;ROW()+1),""\d+""))-1)*7
+ INT((COLUMN()-COLUMN($B259))/3)
"),47274)</f>
        <v>47274</v>
      </c>
      <c r="I259" s="81"/>
      <c r="J259" s="82"/>
      <c r="K259" s="77">
        <f ca="1">IFERROR(__xludf.DUMMYFUNCTION("DATE(VALUE(LEFT($B$2,4)),VALUE(MID($B$2,6,2)),VALUE(RIGHT($B$2,2)))
+ (VALUE(REGEXEXTRACT(INDIRECT(""A""&amp;ROW()+1),""\d+""))-1)*7
+ INT((COLUMN()-COLUMN($B259))/3)
"),47275)</f>
        <v>47275</v>
      </c>
      <c r="L259" s="81"/>
      <c r="M259" s="82"/>
      <c r="N259" s="77">
        <f ca="1">IFERROR(__xludf.DUMMYFUNCTION("DATE(VALUE(LEFT($B$2,4)),VALUE(MID($B$2,6,2)),VALUE(RIGHT($B$2,2)))
+ (VALUE(REGEXEXTRACT(INDIRECT(""A""&amp;ROW()+1),""\d+""))-1)*7
+ INT((COLUMN()-COLUMN($B259))/3)
"),47276)</f>
        <v>47276</v>
      </c>
      <c r="O259" s="81"/>
      <c r="P259" s="82"/>
      <c r="Q259" s="77">
        <f ca="1">IFERROR(__xludf.DUMMYFUNCTION("DATE(VALUE(LEFT($B$2,4)),VALUE(MID($B$2,6,2)),VALUE(RIGHT($B$2,2)))
+ (VALUE(REGEXEXTRACT(INDIRECT(""A""&amp;ROW()+1),""\d+""))-1)*7
+ INT((COLUMN()-COLUMN($B259))/3)
"),47277)</f>
        <v>47277</v>
      </c>
      <c r="R259" s="81"/>
      <c r="S259" s="82"/>
      <c r="T259" s="77">
        <f ca="1">IFERROR(__xludf.DUMMYFUNCTION("DATE(VALUE(LEFT($B$2,4)),VALUE(MID($B$2,6,2)),VALUE(RIGHT($B$2,2)))
+ (VALUE(REGEXEXTRACT(INDIRECT(""A""&amp;ROW()+1),""\d+""))-1)*7
+ INT((COLUMN()-COLUMN($B259))/3)
"),47278)</f>
        <v>47278</v>
      </c>
      <c r="U259" s="81"/>
      <c r="V259" s="82"/>
      <c r="W259" s="52" t="s">
        <v>20</v>
      </c>
    </row>
    <row r="260" spans="1:23" ht="15.75" customHeight="1">
      <c r="A260" s="47" t="s">
        <v>106</v>
      </c>
      <c r="B260" s="109"/>
      <c r="C260" s="109"/>
      <c r="D260" s="42">
        <f>V258+C260</f>
        <v>-1459</v>
      </c>
      <c r="E260" s="112"/>
      <c r="F260" s="111"/>
      <c r="G260" s="48">
        <f>D270+F260</f>
        <v>-1459</v>
      </c>
      <c r="H260" s="149"/>
      <c r="I260" s="150"/>
      <c r="J260" s="54">
        <f>G270+I260</f>
        <v>-1459</v>
      </c>
      <c r="K260" s="110"/>
      <c r="L260" s="111"/>
      <c r="M260" s="18">
        <f>J270+L260</f>
        <v>-1459</v>
      </c>
      <c r="N260" s="113"/>
      <c r="O260" s="109"/>
      <c r="P260" s="35">
        <f>M270+O260</f>
        <v>-1459</v>
      </c>
      <c r="Q260" s="112"/>
      <c r="R260" s="111"/>
      <c r="S260" s="18">
        <f>P270+R260</f>
        <v>-1459</v>
      </c>
      <c r="T260" s="113"/>
      <c r="U260" s="109"/>
      <c r="V260" s="50">
        <f>S270+U260</f>
        <v>-1459</v>
      </c>
      <c r="W260" s="172"/>
    </row>
    <row r="261" spans="1:23" ht="15.75" customHeight="1">
      <c r="A261" s="114"/>
      <c r="B261" s="117"/>
      <c r="C261" s="117"/>
      <c r="D261" s="19">
        <f t="shared" ref="D261:D270" si="154">D260+C261</f>
        <v>-1459</v>
      </c>
      <c r="E261" s="116"/>
      <c r="F261" s="107"/>
      <c r="G261" s="20">
        <f t="shared" ref="G261:G270" si="155">G260+F261</f>
        <v>-1459</v>
      </c>
      <c r="H261" s="118"/>
      <c r="I261" s="117"/>
      <c r="J261" s="19">
        <f t="shared" ref="J261:J270" si="156">J260+I261</f>
        <v>-1459</v>
      </c>
      <c r="K261" s="116"/>
      <c r="L261" s="107"/>
      <c r="M261" s="26">
        <f t="shared" ref="M261:M270" si="157">M260+L261</f>
        <v>-1459</v>
      </c>
      <c r="N261" s="118"/>
      <c r="O261" s="117"/>
      <c r="P261" s="38">
        <f t="shared" ref="P261:P270" si="158">P260+O261</f>
        <v>-1459</v>
      </c>
      <c r="Q261" s="106"/>
      <c r="R261" s="107"/>
      <c r="S261" s="26">
        <f t="shared" ref="S261:S270" si="159">S260+R261</f>
        <v>-1459</v>
      </c>
      <c r="T261" s="136"/>
      <c r="U261" s="136"/>
      <c r="V261" s="45">
        <f t="shared" ref="V261:V270" si="160">V260+U261</f>
        <v>-1459</v>
      </c>
      <c r="W261" s="143"/>
    </row>
    <row r="262" spans="1:23" ht="15.75" customHeight="1">
      <c r="A262" s="114"/>
      <c r="B262" s="117"/>
      <c r="C262" s="117"/>
      <c r="D262" s="19">
        <f t="shared" si="154"/>
        <v>-1459</v>
      </c>
      <c r="E262" s="116"/>
      <c r="F262" s="107"/>
      <c r="G262" s="20">
        <f t="shared" si="155"/>
        <v>-1459</v>
      </c>
      <c r="H262" s="118"/>
      <c r="I262" s="117"/>
      <c r="J262" s="19">
        <f t="shared" si="156"/>
        <v>-1459</v>
      </c>
      <c r="K262" s="116"/>
      <c r="L262" s="107"/>
      <c r="M262" s="26">
        <f t="shared" si="157"/>
        <v>-1459</v>
      </c>
      <c r="N262" s="117"/>
      <c r="O262" s="117"/>
      <c r="P262" s="38">
        <f t="shared" si="158"/>
        <v>-1459</v>
      </c>
      <c r="Q262" s="106"/>
      <c r="R262" s="107"/>
      <c r="S262" s="26">
        <f t="shared" si="159"/>
        <v>-1459</v>
      </c>
      <c r="T262" s="136"/>
      <c r="U262" s="136"/>
      <c r="V262" s="45">
        <f t="shared" si="160"/>
        <v>-1459</v>
      </c>
      <c r="W262" s="143"/>
    </row>
    <row r="263" spans="1:23" ht="15.75" customHeight="1">
      <c r="A263" s="114"/>
      <c r="B263" s="117"/>
      <c r="C263" s="117"/>
      <c r="D263" s="19">
        <f t="shared" si="154"/>
        <v>-1459</v>
      </c>
      <c r="E263" s="116"/>
      <c r="F263" s="107"/>
      <c r="G263" s="20">
        <f t="shared" si="155"/>
        <v>-1459</v>
      </c>
      <c r="H263" s="118"/>
      <c r="I263" s="117"/>
      <c r="J263" s="19">
        <f t="shared" si="156"/>
        <v>-1459</v>
      </c>
      <c r="K263" s="116"/>
      <c r="L263" s="107"/>
      <c r="M263" s="26">
        <f t="shared" si="157"/>
        <v>-1459</v>
      </c>
      <c r="N263" s="117"/>
      <c r="O263" s="117"/>
      <c r="P263" s="38">
        <f t="shared" si="158"/>
        <v>-1459</v>
      </c>
      <c r="Q263" s="106"/>
      <c r="R263" s="107"/>
      <c r="S263" s="26">
        <f t="shared" si="159"/>
        <v>-1459</v>
      </c>
      <c r="T263" s="136"/>
      <c r="U263" s="136"/>
      <c r="V263" s="45">
        <f t="shared" si="160"/>
        <v>-1459</v>
      </c>
      <c r="W263" s="143"/>
    </row>
    <row r="264" spans="1:23" ht="15.75" customHeight="1">
      <c r="A264" s="114"/>
      <c r="B264" s="117"/>
      <c r="C264" s="117"/>
      <c r="D264" s="19">
        <f t="shared" si="154"/>
        <v>-1459</v>
      </c>
      <c r="E264" s="116"/>
      <c r="F264" s="107"/>
      <c r="G264" s="20">
        <f t="shared" si="155"/>
        <v>-1459</v>
      </c>
      <c r="H264" s="118"/>
      <c r="I264" s="117"/>
      <c r="J264" s="19">
        <f t="shared" si="156"/>
        <v>-1459</v>
      </c>
      <c r="K264" s="116"/>
      <c r="L264" s="107"/>
      <c r="M264" s="26">
        <f t="shared" si="157"/>
        <v>-1459</v>
      </c>
      <c r="N264" s="117"/>
      <c r="O264" s="117"/>
      <c r="P264" s="38">
        <f t="shared" si="158"/>
        <v>-1459</v>
      </c>
      <c r="Q264" s="106"/>
      <c r="R264" s="107"/>
      <c r="S264" s="26">
        <f t="shared" si="159"/>
        <v>-1459</v>
      </c>
      <c r="T264" s="136"/>
      <c r="U264" s="136"/>
      <c r="V264" s="45">
        <f t="shared" si="160"/>
        <v>-1459</v>
      </c>
      <c r="W264" s="143"/>
    </row>
    <row r="265" spans="1:23" ht="15.75" customHeight="1">
      <c r="A265" s="114"/>
      <c r="B265" s="118"/>
      <c r="C265" s="117"/>
      <c r="D265" s="19">
        <f t="shared" si="154"/>
        <v>-1459</v>
      </c>
      <c r="E265" s="116"/>
      <c r="F265" s="107"/>
      <c r="G265" s="20">
        <f t="shared" si="155"/>
        <v>-1459</v>
      </c>
      <c r="H265" s="118"/>
      <c r="I265" s="117"/>
      <c r="J265" s="19">
        <f t="shared" si="156"/>
        <v>-1459</v>
      </c>
      <c r="K265" s="116"/>
      <c r="L265" s="107"/>
      <c r="M265" s="26">
        <f t="shared" si="157"/>
        <v>-1459</v>
      </c>
      <c r="N265" s="117"/>
      <c r="O265" s="117"/>
      <c r="P265" s="38">
        <f t="shared" si="158"/>
        <v>-1459</v>
      </c>
      <c r="Q265" s="106"/>
      <c r="R265" s="107"/>
      <c r="S265" s="26">
        <f t="shared" si="159"/>
        <v>-1459</v>
      </c>
      <c r="T265" s="136"/>
      <c r="U265" s="136"/>
      <c r="V265" s="45">
        <f t="shared" si="160"/>
        <v>-1459</v>
      </c>
      <c r="W265" s="143"/>
    </row>
    <row r="266" spans="1:23" ht="15.75" customHeight="1">
      <c r="A266" s="114"/>
      <c r="B266" s="117"/>
      <c r="C266" s="117"/>
      <c r="D266" s="19">
        <f t="shared" si="154"/>
        <v>-1459</v>
      </c>
      <c r="E266" s="106"/>
      <c r="F266" s="107"/>
      <c r="G266" s="20">
        <f t="shared" si="155"/>
        <v>-1459</v>
      </c>
      <c r="H266" s="118"/>
      <c r="I266" s="117"/>
      <c r="J266" s="19">
        <f t="shared" si="156"/>
        <v>-1459</v>
      </c>
      <c r="K266" s="116"/>
      <c r="L266" s="107"/>
      <c r="M266" s="26">
        <f t="shared" si="157"/>
        <v>-1459</v>
      </c>
      <c r="N266" s="117"/>
      <c r="O266" s="117"/>
      <c r="P266" s="38">
        <f t="shared" si="158"/>
        <v>-1459</v>
      </c>
      <c r="Q266" s="106"/>
      <c r="R266" s="107"/>
      <c r="S266" s="26">
        <f t="shared" si="159"/>
        <v>-1459</v>
      </c>
      <c r="T266" s="136"/>
      <c r="U266" s="136"/>
      <c r="V266" s="45">
        <f t="shared" si="160"/>
        <v>-1459</v>
      </c>
      <c r="W266" s="143"/>
    </row>
    <row r="267" spans="1:23" ht="15.75" customHeight="1">
      <c r="A267" s="114"/>
      <c r="B267" s="117"/>
      <c r="C267" s="117"/>
      <c r="D267" s="19">
        <f t="shared" si="154"/>
        <v>-1459</v>
      </c>
      <c r="E267" s="106"/>
      <c r="F267" s="107"/>
      <c r="G267" s="20">
        <f t="shared" si="155"/>
        <v>-1459</v>
      </c>
      <c r="H267" s="118"/>
      <c r="I267" s="117"/>
      <c r="J267" s="19">
        <f t="shared" si="156"/>
        <v>-1459</v>
      </c>
      <c r="K267" s="116"/>
      <c r="L267" s="107"/>
      <c r="M267" s="26">
        <f t="shared" si="157"/>
        <v>-1459</v>
      </c>
      <c r="N267" s="117"/>
      <c r="O267" s="117"/>
      <c r="P267" s="38">
        <f t="shared" si="158"/>
        <v>-1459</v>
      </c>
      <c r="Q267" s="106"/>
      <c r="R267" s="107"/>
      <c r="S267" s="26">
        <f t="shared" si="159"/>
        <v>-1459</v>
      </c>
      <c r="T267" s="136"/>
      <c r="U267" s="136"/>
      <c r="V267" s="45">
        <f t="shared" si="160"/>
        <v>-1459</v>
      </c>
      <c r="W267" s="143"/>
    </row>
    <row r="268" spans="1:23" ht="15.75" customHeight="1">
      <c r="A268" s="114"/>
      <c r="B268" s="117"/>
      <c r="C268" s="117"/>
      <c r="D268" s="19">
        <f t="shared" si="154"/>
        <v>-1459</v>
      </c>
      <c r="E268" s="106"/>
      <c r="F268" s="107"/>
      <c r="G268" s="20">
        <f t="shared" si="155"/>
        <v>-1459</v>
      </c>
      <c r="H268" s="118"/>
      <c r="I268" s="117"/>
      <c r="J268" s="19">
        <f t="shared" si="156"/>
        <v>-1459</v>
      </c>
      <c r="K268" s="116"/>
      <c r="L268" s="107"/>
      <c r="M268" s="26">
        <f t="shared" si="157"/>
        <v>-1459</v>
      </c>
      <c r="N268" s="117"/>
      <c r="O268" s="117"/>
      <c r="P268" s="38">
        <f t="shared" si="158"/>
        <v>-1459</v>
      </c>
      <c r="Q268" s="106"/>
      <c r="R268" s="107"/>
      <c r="S268" s="26">
        <f t="shared" si="159"/>
        <v>-1459</v>
      </c>
      <c r="T268" s="136"/>
      <c r="U268" s="136"/>
      <c r="V268" s="45">
        <f t="shared" si="160"/>
        <v>-1459</v>
      </c>
      <c r="W268" s="143"/>
    </row>
    <row r="269" spans="1:23" ht="15.75" customHeight="1">
      <c r="A269" s="114"/>
      <c r="B269" s="117"/>
      <c r="C269" s="117"/>
      <c r="D269" s="19">
        <f t="shared" si="154"/>
        <v>-1459</v>
      </c>
      <c r="E269" s="122"/>
      <c r="F269" s="123"/>
      <c r="G269" s="20">
        <f t="shared" si="155"/>
        <v>-1459</v>
      </c>
      <c r="H269" s="118"/>
      <c r="I269" s="117"/>
      <c r="J269" s="19">
        <f t="shared" si="156"/>
        <v>-1459</v>
      </c>
      <c r="K269" s="124"/>
      <c r="L269" s="123"/>
      <c r="M269" s="26">
        <f t="shared" si="157"/>
        <v>-1459</v>
      </c>
      <c r="N269" s="117"/>
      <c r="O269" s="117"/>
      <c r="P269" s="38">
        <f t="shared" si="158"/>
        <v>-1459</v>
      </c>
      <c r="Q269" s="122"/>
      <c r="R269" s="123"/>
      <c r="S269" s="26">
        <f t="shared" si="159"/>
        <v>-1459</v>
      </c>
      <c r="T269" s="136"/>
      <c r="U269" s="136"/>
      <c r="V269" s="45">
        <f t="shared" si="160"/>
        <v>-1459</v>
      </c>
      <c r="W269" s="143"/>
    </row>
    <row r="270" spans="1:23" ht="15.75" customHeight="1">
      <c r="A270" s="114"/>
      <c r="B270" s="128"/>
      <c r="C270" s="128"/>
      <c r="D270" s="29">
        <f t="shared" si="154"/>
        <v>-1459</v>
      </c>
      <c r="E270" s="122"/>
      <c r="F270" s="123"/>
      <c r="G270" s="49">
        <f t="shared" si="155"/>
        <v>-1459</v>
      </c>
      <c r="H270" s="154"/>
      <c r="I270" s="128"/>
      <c r="J270" s="29">
        <f t="shared" si="156"/>
        <v>-1459</v>
      </c>
      <c r="K270" s="124"/>
      <c r="L270" s="123"/>
      <c r="M270" s="39">
        <f t="shared" si="157"/>
        <v>-1459</v>
      </c>
      <c r="N270" s="128"/>
      <c r="O270" s="128"/>
      <c r="P270" s="40">
        <f t="shared" si="158"/>
        <v>-1459</v>
      </c>
      <c r="Q270" s="122"/>
      <c r="R270" s="123"/>
      <c r="S270" s="39">
        <f t="shared" si="159"/>
        <v>-1459</v>
      </c>
      <c r="T270" s="141"/>
      <c r="U270" s="141"/>
      <c r="V270" s="46">
        <f t="shared" si="160"/>
        <v>-1459</v>
      </c>
      <c r="W270" s="143"/>
    </row>
    <row r="271" spans="1:23" ht="15.75" customHeight="1">
      <c r="A271" s="87"/>
      <c r="B271" s="77">
        <f ca="1">IFERROR(__xludf.DUMMYFUNCTION("DATE(VALUE(LEFT($B$2,4)),VALUE(MID($B$2,6,2)),VALUE(RIGHT($B$2,2)))
+ (VALUE(REGEXEXTRACT(INDIRECT(""A""&amp;ROW()+1),""\d+""))-1)*7
+ INT((COLUMN()-COLUMN($B271))/3)
"),47279)</f>
        <v>47279</v>
      </c>
      <c r="C271" s="81"/>
      <c r="D271" s="82"/>
      <c r="E271" s="77">
        <f ca="1">IFERROR(__xludf.DUMMYFUNCTION("DATE(VALUE(LEFT($B$2,4)),VALUE(MID($B$2,6,2)),VALUE(RIGHT($B$2,2)))
+ (VALUE(REGEXEXTRACT(INDIRECT(""A""&amp;ROW()+1),""\d+""))-1)*7
+ INT((COLUMN()-COLUMN($B271))/3)
"),47280)</f>
        <v>47280</v>
      </c>
      <c r="F271" s="81"/>
      <c r="G271" s="82"/>
      <c r="H271" s="77">
        <f ca="1">IFERROR(__xludf.DUMMYFUNCTION("DATE(VALUE(LEFT($B$2,4)),VALUE(MID($B$2,6,2)),VALUE(RIGHT($B$2,2)))
+ (VALUE(REGEXEXTRACT(INDIRECT(""A""&amp;ROW()+1),""\d+""))-1)*7
+ INT((COLUMN()-COLUMN($B271))/3)
"),47281)</f>
        <v>47281</v>
      </c>
      <c r="I271" s="81"/>
      <c r="J271" s="82"/>
      <c r="K271" s="77">
        <f ca="1">IFERROR(__xludf.DUMMYFUNCTION("DATE(VALUE(LEFT($B$2,4)),VALUE(MID($B$2,6,2)),VALUE(RIGHT($B$2,2)))
+ (VALUE(REGEXEXTRACT(INDIRECT(""A""&amp;ROW()+1),""\d+""))-1)*7
+ INT((COLUMN()-COLUMN($B271))/3)
"),47282)</f>
        <v>47282</v>
      </c>
      <c r="L271" s="81"/>
      <c r="M271" s="82"/>
      <c r="N271" s="77">
        <f ca="1">IFERROR(__xludf.DUMMYFUNCTION("DATE(VALUE(LEFT($B$2,4)),VALUE(MID($B$2,6,2)),VALUE(RIGHT($B$2,2)))
+ (VALUE(REGEXEXTRACT(INDIRECT(""A""&amp;ROW()+1),""\d+""))-1)*7
+ INT((COLUMN()-COLUMN($B271))/3)
"),47283)</f>
        <v>47283</v>
      </c>
      <c r="O271" s="81"/>
      <c r="P271" s="82"/>
      <c r="Q271" s="77">
        <f ca="1">IFERROR(__xludf.DUMMYFUNCTION("DATE(VALUE(LEFT($B$2,4)),VALUE(MID($B$2,6,2)),VALUE(RIGHT($B$2,2)))
+ (VALUE(REGEXEXTRACT(INDIRECT(""A""&amp;ROW()+1),""\d+""))-1)*7
+ INT((COLUMN()-COLUMN($B271))/3)
"),47284)</f>
        <v>47284</v>
      </c>
      <c r="R271" s="81"/>
      <c r="S271" s="82"/>
      <c r="T271" s="77">
        <f ca="1">IFERROR(__xludf.DUMMYFUNCTION("DATE(VALUE(LEFT($B$2,4)),VALUE(MID($B$2,6,2)),VALUE(RIGHT($B$2,2)))
+ (VALUE(REGEXEXTRACT(INDIRECT(""A""&amp;ROW()+1),""\d+""))-1)*7
+ INT((COLUMN()-COLUMN($B271))/3)
"),47285)</f>
        <v>47285</v>
      </c>
      <c r="U271" s="81"/>
      <c r="V271" s="82"/>
      <c r="W271" s="143"/>
    </row>
    <row r="272" spans="1:23" ht="15.75" customHeight="1">
      <c r="A272" s="51" t="s">
        <v>118</v>
      </c>
      <c r="B272" s="112"/>
      <c r="C272" s="111"/>
      <c r="D272" s="17">
        <f>V270+C272</f>
        <v>-1459</v>
      </c>
      <c r="E272" s="109"/>
      <c r="F272" s="109"/>
      <c r="G272" s="50">
        <f>D282+F272</f>
        <v>-1459</v>
      </c>
      <c r="H272" s="112"/>
      <c r="I272" s="111"/>
      <c r="J272" s="17">
        <f>G282+I272</f>
        <v>-1459</v>
      </c>
      <c r="K272" s="132"/>
      <c r="L272" s="109"/>
      <c r="M272" s="56">
        <f>J282+L272</f>
        <v>-1459</v>
      </c>
      <c r="N272" s="110"/>
      <c r="O272" s="111"/>
      <c r="P272" s="17">
        <f>M282+O272</f>
        <v>-1459</v>
      </c>
      <c r="Q272" s="109"/>
      <c r="R272" s="109"/>
      <c r="S272" s="35">
        <f>P282+R272</f>
        <v>-1459</v>
      </c>
      <c r="T272" s="112"/>
      <c r="U272" s="111"/>
      <c r="V272" s="48">
        <f>S282+U272</f>
        <v>-1459</v>
      </c>
      <c r="W272" s="143"/>
    </row>
    <row r="273" spans="1:23" ht="15.75" customHeight="1">
      <c r="A273" s="114"/>
      <c r="B273" s="106"/>
      <c r="C273" s="107"/>
      <c r="D273" s="26">
        <f t="shared" ref="D273:D282" si="161">D272+C273</f>
        <v>-1459</v>
      </c>
      <c r="E273" s="117"/>
      <c r="F273" s="117"/>
      <c r="G273" s="45">
        <f t="shared" ref="G273:G282" si="162">G272+F273</f>
        <v>-1459</v>
      </c>
      <c r="H273" s="106"/>
      <c r="I273" s="107"/>
      <c r="J273" s="26">
        <f t="shared" ref="J273:J282" si="163">J272+I273</f>
        <v>-1459</v>
      </c>
      <c r="K273" s="133"/>
      <c r="L273" s="117"/>
      <c r="M273" s="57">
        <f t="shared" ref="M273:M282" si="164">M272+L273</f>
        <v>-1459</v>
      </c>
      <c r="N273" s="116"/>
      <c r="O273" s="107"/>
      <c r="P273" s="26">
        <f t="shared" ref="P273:P282" si="165">P272+O273</f>
        <v>-1459</v>
      </c>
      <c r="Q273" s="117"/>
      <c r="R273" s="117"/>
      <c r="S273" s="19">
        <f t="shared" ref="S273:S282" si="166">S272+R273</f>
        <v>-1459</v>
      </c>
      <c r="T273" s="116"/>
      <c r="U273" s="107"/>
      <c r="V273" s="20">
        <f t="shared" ref="V273:V282" si="167">V272+U273</f>
        <v>-1459</v>
      </c>
      <c r="W273" s="143"/>
    </row>
    <row r="274" spans="1:23" ht="15.75" customHeight="1">
      <c r="A274" s="114"/>
      <c r="B274" s="106"/>
      <c r="C274" s="107"/>
      <c r="D274" s="26">
        <f t="shared" si="161"/>
        <v>-1459</v>
      </c>
      <c r="E274" s="117"/>
      <c r="F274" s="117"/>
      <c r="G274" s="45">
        <f t="shared" si="162"/>
        <v>-1459</v>
      </c>
      <c r="H274" s="106"/>
      <c r="I274" s="107"/>
      <c r="J274" s="26">
        <f t="shared" si="163"/>
        <v>-1459</v>
      </c>
      <c r="K274" s="133"/>
      <c r="L274" s="117"/>
      <c r="M274" s="57">
        <f t="shared" si="164"/>
        <v>-1459</v>
      </c>
      <c r="N274" s="116"/>
      <c r="O274" s="107"/>
      <c r="P274" s="26">
        <f t="shared" si="165"/>
        <v>-1459</v>
      </c>
      <c r="Q274" s="117"/>
      <c r="R274" s="117"/>
      <c r="S274" s="19">
        <f t="shared" si="166"/>
        <v>-1459</v>
      </c>
      <c r="T274" s="116"/>
      <c r="U274" s="116"/>
      <c r="V274" s="20">
        <f t="shared" si="167"/>
        <v>-1459</v>
      </c>
      <c r="W274" s="143"/>
    </row>
    <row r="275" spans="1:23" ht="15.75" customHeight="1">
      <c r="A275" s="114"/>
      <c r="B275" s="106"/>
      <c r="C275" s="107"/>
      <c r="D275" s="26">
        <f t="shared" si="161"/>
        <v>-1459</v>
      </c>
      <c r="E275" s="117"/>
      <c r="F275" s="117"/>
      <c r="G275" s="45">
        <f t="shared" si="162"/>
        <v>-1459</v>
      </c>
      <c r="H275" s="106"/>
      <c r="I275" s="107"/>
      <c r="J275" s="26">
        <f t="shared" si="163"/>
        <v>-1459</v>
      </c>
      <c r="K275" s="133"/>
      <c r="L275" s="117"/>
      <c r="M275" s="57">
        <f t="shared" si="164"/>
        <v>-1459</v>
      </c>
      <c r="N275" s="116"/>
      <c r="O275" s="107"/>
      <c r="P275" s="26">
        <f t="shared" si="165"/>
        <v>-1459</v>
      </c>
      <c r="Q275" s="117"/>
      <c r="R275" s="117"/>
      <c r="S275" s="19">
        <f t="shared" si="166"/>
        <v>-1459</v>
      </c>
      <c r="T275" s="116"/>
      <c r="U275" s="116"/>
      <c r="V275" s="20">
        <f t="shared" si="167"/>
        <v>-1459</v>
      </c>
      <c r="W275" s="143"/>
    </row>
    <row r="276" spans="1:23" ht="15.75" customHeight="1">
      <c r="A276" s="114"/>
      <c r="B276" s="106"/>
      <c r="C276" s="107"/>
      <c r="D276" s="26">
        <f t="shared" si="161"/>
        <v>-1459</v>
      </c>
      <c r="E276" s="117"/>
      <c r="F276" s="117"/>
      <c r="G276" s="45">
        <f t="shared" si="162"/>
        <v>-1459</v>
      </c>
      <c r="H276" s="106"/>
      <c r="I276" s="107"/>
      <c r="J276" s="26">
        <f t="shared" si="163"/>
        <v>-1459</v>
      </c>
      <c r="K276" s="133"/>
      <c r="L276" s="117"/>
      <c r="M276" s="57">
        <f t="shared" si="164"/>
        <v>-1459</v>
      </c>
      <c r="N276" s="116"/>
      <c r="O276" s="107"/>
      <c r="P276" s="26">
        <f t="shared" si="165"/>
        <v>-1459</v>
      </c>
      <c r="Q276" s="117"/>
      <c r="R276" s="117"/>
      <c r="S276" s="19">
        <f t="shared" si="166"/>
        <v>-1459</v>
      </c>
      <c r="T276" s="116"/>
      <c r="U276" s="116"/>
      <c r="V276" s="20">
        <f t="shared" si="167"/>
        <v>-1459</v>
      </c>
      <c r="W276" s="143"/>
    </row>
    <row r="277" spans="1:23" ht="15.75" customHeight="1">
      <c r="A277" s="114"/>
      <c r="B277" s="106"/>
      <c r="C277" s="107"/>
      <c r="D277" s="26">
        <f t="shared" si="161"/>
        <v>-1459</v>
      </c>
      <c r="E277" s="117"/>
      <c r="F277" s="117"/>
      <c r="G277" s="45">
        <f t="shared" si="162"/>
        <v>-1459</v>
      </c>
      <c r="H277" s="106"/>
      <c r="I277" s="107"/>
      <c r="J277" s="26">
        <f t="shared" si="163"/>
        <v>-1459</v>
      </c>
      <c r="K277" s="133"/>
      <c r="L277" s="117"/>
      <c r="M277" s="57">
        <f t="shared" si="164"/>
        <v>-1459</v>
      </c>
      <c r="N277" s="116"/>
      <c r="O277" s="107"/>
      <c r="P277" s="26">
        <f t="shared" si="165"/>
        <v>-1459</v>
      </c>
      <c r="Q277" s="117"/>
      <c r="R277" s="117"/>
      <c r="S277" s="19">
        <f t="shared" si="166"/>
        <v>-1459</v>
      </c>
      <c r="T277" s="116"/>
      <c r="U277" s="116"/>
      <c r="V277" s="20">
        <f t="shared" si="167"/>
        <v>-1459</v>
      </c>
      <c r="W277" s="143"/>
    </row>
    <row r="278" spans="1:23" ht="15.75" customHeight="1">
      <c r="A278" s="114"/>
      <c r="B278" s="106"/>
      <c r="C278" s="107"/>
      <c r="D278" s="26">
        <f t="shared" si="161"/>
        <v>-1459</v>
      </c>
      <c r="E278" s="117"/>
      <c r="F278" s="117"/>
      <c r="G278" s="45">
        <f t="shared" si="162"/>
        <v>-1459</v>
      </c>
      <c r="H278" s="106"/>
      <c r="I278" s="107"/>
      <c r="J278" s="26">
        <f t="shared" si="163"/>
        <v>-1459</v>
      </c>
      <c r="K278" s="133"/>
      <c r="L278" s="117"/>
      <c r="M278" s="57">
        <f t="shared" si="164"/>
        <v>-1459</v>
      </c>
      <c r="N278" s="116"/>
      <c r="O278" s="107"/>
      <c r="P278" s="26">
        <f t="shared" si="165"/>
        <v>-1459</v>
      </c>
      <c r="Q278" s="117"/>
      <c r="R278" s="117"/>
      <c r="S278" s="19">
        <f t="shared" si="166"/>
        <v>-1459</v>
      </c>
      <c r="T278" s="116"/>
      <c r="U278" s="116"/>
      <c r="V278" s="20">
        <f t="shared" si="167"/>
        <v>-1459</v>
      </c>
      <c r="W278" s="143"/>
    </row>
    <row r="279" spans="1:23" ht="15.75" customHeight="1">
      <c r="A279" s="114"/>
      <c r="B279" s="106"/>
      <c r="C279" s="107"/>
      <c r="D279" s="26">
        <f t="shared" si="161"/>
        <v>-1459</v>
      </c>
      <c r="E279" s="117"/>
      <c r="F279" s="117"/>
      <c r="G279" s="45">
        <f t="shared" si="162"/>
        <v>-1459</v>
      </c>
      <c r="H279" s="106"/>
      <c r="I279" s="107"/>
      <c r="J279" s="26">
        <f t="shared" si="163"/>
        <v>-1459</v>
      </c>
      <c r="K279" s="133"/>
      <c r="L279" s="117"/>
      <c r="M279" s="57">
        <f t="shared" si="164"/>
        <v>-1459</v>
      </c>
      <c r="N279" s="116"/>
      <c r="O279" s="107"/>
      <c r="P279" s="26">
        <f t="shared" si="165"/>
        <v>-1459</v>
      </c>
      <c r="Q279" s="117"/>
      <c r="R279" s="117"/>
      <c r="S279" s="19">
        <f t="shared" si="166"/>
        <v>-1459</v>
      </c>
      <c r="T279" s="116"/>
      <c r="U279" s="116"/>
      <c r="V279" s="20">
        <f t="shared" si="167"/>
        <v>-1459</v>
      </c>
      <c r="W279" s="143"/>
    </row>
    <row r="280" spans="1:23" ht="15.75" customHeight="1">
      <c r="A280" s="114"/>
      <c r="B280" s="122"/>
      <c r="C280" s="123"/>
      <c r="D280" s="26">
        <f t="shared" si="161"/>
        <v>-1459</v>
      </c>
      <c r="E280" s="117"/>
      <c r="F280" s="117"/>
      <c r="G280" s="45">
        <f t="shared" si="162"/>
        <v>-1459</v>
      </c>
      <c r="H280" s="122"/>
      <c r="I280" s="123"/>
      <c r="J280" s="26">
        <f t="shared" si="163"/>
        <v>-1459</v>
      </c>
      <c r="K280" s="133"/>
      <c r="L280" s="117"/>
      <c r="M280" s="57">
        <f t="shared" si="164"/>
        <v>-1459</v>
      </c>
      <c r="N280" s="116"/>
      <c r="O280" s="107"/>
      <c r="P280" s="26">
        <f t="shared" si="165"/>
        <v>-1459</v>
      </c>
      <c r="Q280" s="117"/>
      <c r="R280" s="117"/>
      <c r="S280" s="19">
        <f t="shared" si="166"/>
        <v>-1459</v>
      </c>
      <c r="T280" s="116"/>
      <c r="U280" s="116"/>
      <c r="V280" s="20">
        <f t="shared" si="167"/>
        <v>-1459</v>
      </c>
      <c r="W280" s="143"/>
    </row>
    <row r="281" spans="1:23" ht="15.75" customHeight="1">
      <c r="A281" s="114"/>
      <c r="B281" s="122"/>
      <c r="C281" s="123"/>
      <c r="D281" s="26">
        <f t="shared" si="161"/>
        <v>-1459</v>
      </c>
      <c r="E281" s="117"/>
      <c r="F281" s="117"/>
      <c r="G281" s="45">
        <f t="shared" si="162"/>
        <v>-1459</v>
      </c>
      <c r="H281" s="122"/>
      <c r="I281" s="123"/>
      <c r="J281" s="26">
        <f t="shared" si="163"/>
        <v>-1459</v>
      </c>
      <c r="K281" s="133"/>
      <c r="L281" s="117"/>
      <c r="M281" s="57">
        <f t="shared" si="164"/>
        <v>-1459</v>
      </c>
      <c r="N281" s="116"/>
      <c r="O281" s="123"/>
      <c r="P281" s="26">
        <f t="shared" si="165"/>
        <v>-1459</v>
      </c>
      <c r="Q281" s="117"/>
      <c r="R281" s="117"/>
      <c r="S281" s="19">
        <f t="shared" si="166"/>
        <v>-1459</v>
      </c>
      <c r="T281" s="124"/>
      <c r="U281" s="124"/>
      <c r="V281" s="20">
        <f t="shared" si="167"/>
        <v>-1459</v>
      </c>
      <c r="W281" s="143"/>
    </row>
    <row r="282" spans="1:23" ht="15.75" customHeight="1">
      <c r="A282" s="114"/>
      <c r="B282" s="122"/>
      <c r="C282" s="123"/>
      <c r="D282" s="39">
        <f t="shared" si="161"/>
        <v>-1459</v>
      </c>
      <c r="E282" s="128"/>
      <c r="F282" s="128"/>
      <c r="G282" s="46">
        <f t="shared" si="162"/>
        <v>-1459</v>
      </c>
      <c r="H282" s="122"/>
      <c r="I282" s="123"/>
      <c r="J282" s="39">
        <f t="shared" si="163"/>
        <v>-1459</v>
      </c>
      <c r="K282" s="140"/>
      <c r="L282" s="128"/>
      <c r="M282" s="58">
        <f t="shared" si="164"/>
        <v>-1459</v>
      </c>
      <c r="N282" s="124"/>
      <c r="O282" s="123"/>
      <c r="P282" s="39">
        <f t="shared" si="165"/>
        <v>-1459</v>
      </c>
      <c r="Q282" s="128"/>
      <c r="R282" s="128"/>
      <c r="S282" s="29">
        <f t="shared" si="166"/>
        <v>-1459</v>
      </c>
      <c r="T282" s="124"/>
      <c r="U282" s="123"/>
      <c r="V282" s="49">
        <f t="shared" si="167"/>
        <v>-1459</v>
      </c>
      <c r="W282" s="143"/>
    </row>
    <row r="283" spans="1:23" ht="15.75" customHeight="1">
      <c r="A283" s="87"/>
      <c r="B283" s="77">
        <f ca="1">IFERROR(__xludf.DUMMYFUNCTION("DATE(VALUE(LEFT($B$2,4)),VALUE(MID($B$2,6,2)),VALUE(RIGHT($B$2,2)))
+ (VALUE(REGEXEXTRACT(INDIRECT(""A""&amp;ROW()+1),""\d+""))-1)*7
+ INT((COLUMN()-COLUMN($B283))/3)
"),47286)</f>
        <v>47286</v>
      </c>
      <c r="C283" s="81"/>
      <c r="D283" s="82"/>
      <c r="E283" s="77">
        <f ca="1">IFERROR(__xludf.DUMMYFUNCTION("DATE(VALUE(LEFT($B$2,4)),VALUE(MID($B$2,6,2)),VALUE(RIGHT($B$2,2)))
+ (VALUE(REGEXEXTRACT(INDIRECT(""A""&amp;ROW()+1),""\d+""))-1)*7
+ INT((COLUMN()-COLUMN($B283))/3)
"),47287)</f>
        <v>47287</v>
      </c>
      <c r="F283" s="81"/>
      <c r="G283" s="82"/>
      <c r="H283" s="77">
        <f ca="1">IFERROR(__xludf.DUMMYFUNCTION("DATE(VALUE(LEFT($B$2,4)),VALUE(MID($B$2,6,2)),VALUE(RIGHT($B$2,2)))
+ (VALUE(REGEXEXTRACT(INDIRECT(""A""&amp;ROW()+1),""\d+""))-1)*7
+ INT((COLUMN()-COLUMN($B283))/3)
"),47288)</f>
        <v>47288</v>
      </c>
      <c r="I283" s="81"/>
      <c r="J283" s="82"/>
      <c r="K283" s="77">
        <f ca="1">IFERROR(__xludf.DUMMYFUNCTION("DATE(VALUE(LEFT($B$2,4)),VALUE(MID($B$2,6,2)),VALUE(RIGHT($B$2,2)))
+ (VALUE(REGEXEXTRACT(INDIRECT(""A""&amp;ROW()+1),""\d+""))-1)*7
+ INT((COLUMN()-COLUMN($B283))/3)
"),47289)</f>
        <v>47289</v>
      </c>
      <c r="L283" s="81"/>
      <c r="M283" s="82"/>
      <c r="N283" s="77">
        <f ca="1">IFERROR(__xludf.DUMMYFUNCTION("DATE(VALUE(LEFT($B$2,4)),VALUE(MID($B$2,6,2)),VALUE(RIGHT($B$2,2)))
+ (VALUE(REGEXEXTRACT(INDIRECT(""A""&amp;ROW()+1),""\d+""))-1)*7
+ INT((COLUMN()-COLUMN($B283))/3)
"),47290)</f>
        <v>47290</v>
      </c>
      <c r="O283" s="81"/>
      <c r="P283" s="82"/>
      <c r="Q283" s="77">
        <f ca="1">IFERROR(__xludf.DUMMYFUNCTION("DATE(VALUE(LEFT($B$2,4)),VALUE(MID($B$2,6,2)),VALUE(RIGHT($B$2,2)))
+ (VALUE(REGEXEXTRACT(INDIRECT(""A""&amp;ROW()+1),""\d+""))-1)*7
+ INT((COLUMN()-COLUMN($B283))/3)
"),47291)</f>
        <v>47291</v>
      </c>
      <c r="R283" s="81"/>
      <c r="S283" s="82"/>
      <c r="T283" s="77">
        <f ca="1">IFERROR(__xludf.DUMMYFUNCTION("DATE(VALUE(LEFT($B$2,4)),VALUE(MID($B$2,6,2)),VALUE(RIGHT($B$2,2)))
+ (VALUE(REGEXEXTRACT(INDIRECT(""A""&amp;ROW()+1),""\d+""))-1)*7
+ INT((COLUMN()-COLUMN($B283))/3)
"),47292)</f>
        <v>47292</v>
      </c>
      <c r="U283" s="81"/>
      <c r="V283" s="82"/>
      <c r="W283" s="52" t="s">
        <v>20</v>
      </c>
    </row>
    <row r="284" spans="1:23" ht="15.75" customHeight="1">
      <c r="A284" s="47" t="s">
        <v>153</v>
      </c>
      <c r="B284" s="109"/>
      <c r="C284" s="109"/>
      <c r="D284" s="42">
        <f>V282+C284</f>
        <v>-1459</v>
      </c>
      <c r="E284" s="112"/>
      <c r="F284" s="111"/>
      <c r="G284" s="48">
        <f>D294+F284</f>
        <v>-1459</v>
      </c>
      <c r="H284" s="113"/>
      <c r="I284" s="109"/>
      <c r="J284" s="42">
        <f>G294+I284</f>
        <v>-1459</v>
      </c>
      <c r="K284" s="110"/>
      <c r="L284" s="111"/>
      <c r="M284" s="18">
        <f>J294+L284</f>
        <v>-1459</v>
      </c>
      <c r="N284" s="113"/>
      <c r="O284" s="109"/>
      <c r="P284" s="35">
        <f>M294+O284</f>
        <v>-1459</v>
      </c>
      <c r="Q284" s="112"/>
      <c r="R284" s="111"/>
      <c r="S284" s="36">
        <f>P294+R284</f>
        <v>-1459</v>
      </c>
      <c r="T284" s="176"/>
      <c r="U284" s="173"/>
      <c r="V284" s="50">
        <f>S294+U284</f>
        <v>-1459</v>
      </c>
      <c r="W284" s="172"/>
    </row>
    <row r="285" spans="1:23" ht="15.75" customHeight="1">
      <c r="A285" s="114"/>
      <c r="B285" s="117"/>
      <c r="C285" s="117"/>
      <c r="D285" s="19">
        <f t="shared" ref="D285:D294" si="168">D284+C285</f>
        <v>-1459</v>
      </c>
      <c r="E285" s="106"/>
      <c r="F285" s="107"/>
      <c r="G285" s="20">
        <f t="shared" ref="G285:G294" si="169">G284+F285</f>
        <v>-1459</v>
      </c>
      <c r="H285" s="118"/>
      <c r="I285" s="117"/>
      <c r="J285" s="19">
        <f t="shared" ref="J285:J294" si="170">J284+I285</f>
        <v>-1459</v>
      </c>
      <c r="K285" s="116"/>
      <c r="L285" s="107"/>
      <c r="M285" s="26">
        <f t="shared" ref="M285:M294" si="171">M284+L285</f>
        <v>-1459</v>
      </c>
      <c r="N285" s="118"/>
      <c r="O285" s="117"/>
      <c r="P285" s="38">
        <f t="shared" ref="P285:P294" si="172">P284+O285</f>
        <v>-1459</v>
      </c>
      <c r="Q285" s="106"/>
      <c r="R285" s="107"/>
      <c r="S285" s="26">
        <f t="shared" ref="S285:S294" si="173">S284+R285</f>
        <v>-1459</v>
      </c>
      <c r="T285" s="177"/>
      <c r="U285" s="136"/>
      <c r="V285" s="45">
        <f t="shared" ref="V285:V294" si="174">V284+U285</f>
        <v>-1459</v>
      </c>
      <c r="W285" s="143"/>
    </row>
    <row r="286" spans="1:23" ht="15.75" customHeight="1">
      <c r="A286" s="114"/>
      <c r="B286" s="117"/>
      <c r="C286" s="117"/>
      <c r="D286" s="19">
        <f t="shared" si="168"/>
        <v>-1459</v>
      </c>
      <c r="E286" s="106"/>
      <c r="F286" s="107"/>
      <c r="G286" s="20">
        <f t="shared" si="169"/>
        <v>-1459</v>
      </c>
      <c r="H286" s="118"/>
      <c r="I286" s="117"/>
      <c r="J286" s="19">
        <f t="shared" si="170"/>
        <v>-1459</v>
      </c>
      <c r="K286" s="116"/>
      <c r="L286" s="107"/>
      <c r="M286" s="26">
        <f t="shared" si="171"/>
        <v>-1459</v>
      </c>
      <c r="N286" s="117"/>
      <c r="O286" s="117"/>
      <c r="P286" s="38">
        <f t="shared" si="172"/>
        <v>-1459</v>
      </c>
      <c r="Q286" s="106"/>
      <c r="R286" s="107"/>
      <c r="S286" s="26">
        <f t="shared" si="173"/>
        <v>-1459</v>
      </c>
      <c r="T286" s="177"/>
      <c r="U286" s="136"/>
      <c r="V286" s="45">
        <f t="shared" si="174"/>
        <v>-1459</v>
      </c>
      <c r="W286" s="143"/>
    </row>
    <row r="287" spans="1:23" ht="15.75" customHeight="1">
      <c r="A287" s="114"/>
      <c r="B287" s="117"/>
      <c r="C287" s="117"/>
      <c r="D287" s="19">
        <f t="shared" si="168"/>
        <v>-1459</v>
      </c>
      <c r="E287" s="106"/>
      <c r="F287" s="107"/>
      <c r="G287" s="20">
        <f t="shared" si="169"/>
        <v>-1459</v>
      </c>
      <c r="H287" s="118"/>
      <c r="I287" s="117"/>
      <c r="J287" s="19">
        <f t="shared" si="170"/>
        <v>-1459</v>
      </c>
      <c r="K287" s="116"/>
      <c r="L287" s="107"/>
      <c r="M287" s="26">
        <f t="shared" si="171"/>
        <v>-1459</v>
      </c>
      <c r="N287" s="117"/>
      <c r="O287" s="117"/>
      <c r="P287" s="38">
        <f t="shared" si="172"/>
        <v>-1459</v>
      </c>
      <c r="Q287" s="106"/>
      <c r="R287" s="107"/>
      <c r="S287" s="26">
        <f t="shared" si="173"/>
        <v>-1459</v>
      </c>
      <c r="T287" s="177"/>
      <c r="U287" s="136"/>
      <c r="V287" s="45">
        <f t="shared" si="174"/>
        <v>-1459</v>
      </c>
      <c r="W287" s="143"/>
    </row>
    <row r="288" spans="1:23" ht="15.75" customHeight="1">
      <c r="A288" s="114"/>
      <c r="B288" s="117"/>
      <c r="C288" s="117"/>
      <c r="D288" s="19">
        <f t="shared" si="168"/>
        <v>-1459</v>
      </c>
      <c r="E288" s="106"/>
      <c r="F288" s="107"/>
      <c r="G288" s="20">
        <f t="shared" si="169"/>
        <v>-1459</v>
      </c>
      <c r="H288" s="118"/>
      <c r="I288" s="117"/>
      <c r="J288" s="19">
        <f t="shared" si="170"/>
        <v>-1459</v>
      </c>
      <c r="K288" s="116"/>
      <c r="L288" s="107"/>
      <c r="M288" s="26">
        <f t="shared" si="171"/>
        <v>-1459</v>
      </c>
      <c r="N288" s="117"/>
      <c r="O288" s="117"/>
      <c r="P288" s="38">
        <f t="shared" si="172"/>
        <v>-1459</v>
      </c>
      <c r="Q288" s="106"/>
      <c r="R288" s="107"/>
      <c r="S288" s="26">
        <f t="shared" si="173"/>
        <v>-1459</v>
      </c>
      <c r="T288" s="177"/>
      <c r="U288" s="136"/>
      <c r="V288" s="45">
        <f t="shared" si="174"/>
        <v>-1459</v>
      </c>
      <c r="W288" s="143"/>
    </row>
    <row r="289" spans="1:23" ht="15.75" customHeight="1">
      <c r="A289" s="114"/>
      <c r="B289" s="118"/>
      <c r="C289" s="117"/>
      <c r="D289" s="19">
        <f t="shared" si="168"/>
        <v>-1459</v>
      </c>
      <c r="E289" s="106"/>
      <c r="F289" s="107"/>
      <c r="G289" s="20">
        <f t="shared" si="169"/>
        <v>-1459</v>
      </c>
      <c r="H289" s="118"/>
      <c r="I289" s="117"/>
      <c r="J289" s="19">
        <f t="shared" si="170"/>
        <v>-1459</v>
      </c>
      <c r="K289" s="116"/>
      <c r="L289" s="107"/>
      <c r="M289" s="26">
        <f t="shared" si="171"/>
        <v>-1459</v>
      </c>
      <c r="N289" s="117"/>
      <c r="O289" s="117"/>
      <c r="P289" s="38">
        <f t="shared" si="172"/>
        <v>-1459</v>
      </c>
      <c r="Q289" s="106"/>
      <c r="R289" s="107"/>
      <c r="S289" s="26">
        <f t="shared" si="173"/>
        <v>-1459</v>
      </c>
      <c r="T289" s="177"/>
      <c r="U289" s="136"/>
      <c r="V289" s="45">
        <f t="shared" si="174"/>
        <v>-1459</v>
      </c>
      <c r="W289" s="143"/>
    </row>
    <row r="290" spans="1:23" ht="15.75" customHeight="1">
      <c r="A290" s="114"/>
      <c r="B290" s="117"/>
      <c r="C290" s="117"/>
      <c r="D290" s="19">
        <f t="shared" si="168"/>
        <v>-1459</v>
      </c>
      <c r="E290" s="106"/>
      <c r="F290" s="107"/>
      <c r="G290" s="20">
        <f t="shared" si="169"/>
        <v>-1459</v>
      </c>
      <c r="H290" s="118"/>
      <c r="I290" s="117"/>
      <c r="J290" s="19">
        <f t="shared" si="170"/>
        <v>-1459</v>
      </c>
      <c r="K290" s="116"/>
      <c r="L290" s="107"/>
      <c r="M290" s="26">
        <f t="shared" si="171"/>
        <v>-1459</v>
      </c>
      <c r="N290" s="117"/>
      <c r="O290" s="117"/>
      <c r="P290" s="38">
        <f t="shared" si="172"/>
        <v>-1459</v>
      </c>
      <c r="Q290" s="106"/>
      <c r="R290" s="107"/>
      <c r="S290" s="26">
        <f t="shared" si="173"/>
        <v>-1459</v>
      </c>
      <c r="T290" s="177"/>
      <c r="U290" s="136"/>
      <c r="V290" s="45">
        <f t="shared" si="174"/>
        <v>-1459</v>
      </c>
      <c r="W290" s="143"/>
    </row>
    <row r="291" spans="1:23" ht="15.75" customHeight="1">
      <c r="A291" s="114"/>
      <c r="B291" s="117"/>
      <c r="C291" s="117"/>
      <c r="D291" s="19">
        <f t="shared" si="168"/>
        <v>-1459</v>
      </c>
      <c r="E291" s="106"/>
      <c r="F291" s="107"/>
      <c r="G291" s="20">
        <f t="shared" si="169"/>
        <v>-1459</v>
      </c>
      <c r="H291" s="118"/>
      <c r="I291" s="117"/>
      <c r="J291" s="19">
        <f t="shared" si="170"/>
        <v>-1459</v>
      </c>
      <c r="K291" s="116"/>
      <c r="L291" s="107"/>
      <c r="M291" s="26">
        <f t="shared" si="171"/>
        <v>-1459</v>
      </c>
      <c r="N291" s="117"/>
      <c r="O291" s="117"/>
      <c r="P291" s="38">
        <f t="shared" si="172"/>
        <v>-1459</v>
      </c>
      <c r="Q291" s="106"/>
      <c r="R291" s="107"/>
      <c r="S291" s="26">
        <f t="shared" si="173"/>
        <v>-1459</v>
      </c>
      <c r="T291" s="177"/>
      <c r="U291" s="136"/>
      <c r="V291" s="45">
        <f t="shared" si="174"/>
        <v>-1459</v>
      </c>
      <c r="W291" s="143"/>
    </row>
    <row r="292" spans="1:23" ht="15.75" customHeight="1">
      <c r="A292" s="114"/>
      <c r="B292" s="117"/>
      <c r="C292" s="117"/>
      <c r="D292" s="19">
        <f t="shared" si="168"/>
        <v>-1459</v>
      </c>
      <c r="E292" s="106"/>
      <c r="F292" s="107"/>
      <c r="G292" s="20">
        <f t="shared" si="169"/>
        <v>-1459</v>
      </c>
      <c r="H292" s="118"/>
      <c r="I292" s="117"/>
      <c r="J292" s="19">
        <f t="shared" si="170"/>
        <v>-1459</v>
      </c>
      <c r="K292" s="116"/>
      <c r="L292" s="107"/>
      <c r="M292" s="26">
        <f t="shared" si="171"/>
        <v>-1459</v>
      </c>
      <c r="N292" s="117"/>
      <c r="O292" s="117"/>
      <c r="P292" s="38">
        <f t="shared" si="172"/>
        <v>-1459</v>
      </c>
      <c r="Q292" s="106"/>
      <c r="R292" s="107"/>
      <c r="S292" s="26">
        <f t="shared" si="173"/>
        <v>-1459</v>
      </c>
      <c r="T292" s="177"/>
      <c r="U292" s="136"/>
      <c r="V292" s="45">
        <f t="shared" si="174"/>
        <v>-1459</v>
      </c>
      <c r="W292" s="143"/>
    </row>
    <row r="293" spans="1:23" ht="15.75" customHeight="1">
      <c r="A293" s="114"/>
      <c r="B293" s="117"/>
      <c r="C293" s="117"/>
      <c r="D293" s="19">
        <f t="shared" si="168"/>
        <v>-1459</v>
      </c>
      <c r="E293" s="122"/>
      <c r="F293" s="123"/>
      <c r="G293" s="20">
        <f t="shared" si="169"/>
        <v>-1459</v>
      </c>
      <c r="H293" s="118"/>
      <c r="I293" s="117"/>
      <c r="J293" s="19">
        <f t="shared" si="170"/>
        <v>-1459</v>
      </c>
      <c r="K293" s="124"/>
      <c r="L293" s="123"/>
      <c r="M293" s="26">
        <f t="shared" si="171"/>
        <v>-1459</v>
      </c>
      <c r="N293" s="117"/>
      <c r="O293" s="117"/>
      <c r="P293" s="38">
        <f t="shared" si="172"/>
        <v>-1459</v>
      </c>
      <c r="Q293" s="122"/>
      <c r="R293" s="123"/>
      <c r="S293" s="26">
        <f t="shared" si="173"/>
        <v>-1459</v>
      </c>
      <c r="T293" s="177"/>
      <c r="U293" s="136"/>
      <c r="V293" s="45">
        <f t="shared" si="174"/>
        <v>-1459</v>
      </c>
      <c r="W293" s="143"/>
    </row>
    <row r="294" spans="1:23" ht="15.75" customHeight="1">
      <c r="A294" s="114"/>
      <c r="B294" s="128"/>
      <c r="C294" s="128"/>
      <c r="D294" s="29">
        <f t="shared" si="168"/>
        <v>-1459</v>
      </c>
      <c r="E294" s="122"/>
      <c r="F294" s="123"/>
      <c r="G294" s="49">
        <f t="shared" si="169"/>
        <v>-1459</v>
      </c>
      <c r="H294" s="154"/>
      <c r="I294" s="128"/>
      <c r="J294" s="29">
        <f t="shared" si="170"/>
        <v>-1459</v>
      </c>
      <c r="K294" s="124"/>
      <c r="L294" s="123"/>
      <c r="M294" s="39">
        <f t="shared" si="171"/>
        <v>-1459</v>
      </c>
      <c r="N294" s="128"/>
      <c r="O294" s="128"/>
      <c r="P294" s="40">
        <f t="shared" si="172"/>
        <v>-1459</v>
      </c>
      <c r="Q294" s="122"/>
      <c r="R294" s="123"/>
      <c r="S294" s="39">
        <f t="shared" si="173"/>
        <v>-1459</v>
      </c>
      <c r="T294" s="178"/>
      <c r="U294" s="141"/>
      <c r="V294" s="46">
        <f t="shared" si="174"/>
        <v>-1459</v>
      </c>
      <c r="W294" s="143"/>
    </row>
    <row r="295" spans="1:23" ht="15.75" customHeight="1">
      <c r="A295" s="87"/>
      <c r="B295" s="77">
        <f ca="1">IFERROR(__xludf.DUMMYFUNCTION("DATE(VALUE(LEFT($B$2,4)),VALUE(MID($B$2,6,2)),VALUE(RIGHT($B$2,2)))
+ (VALUE(REGEXEXTRACT(INDIRECT(""A""&amp;ROW()+1),""\d+""))-1)*7
+ INT((COLUMN()-COLUMN($B295))/3)
"),47293)</f>
        <v>47293</v>
      </c>
      <c r="C295" s="81"/>
      <c r="D295" s="82"/>
      <c r="E295" s="77">
        <f ca="1">IFERROR(__xludf.DUMMYFUNCTION("DATE(VALUE(LEFT($B$2,4)),VALUE(MID($B$2,6,2)),VALUE(RIGHT($B$2,2)))
+ (VALUE(REGEXEXTRACT(INDIRECT(""A""&amp;ROW()+1),""\d+""))-1)*7
+ INT((COLUMN()-COLUMN($B295))/3)
"),47294)</f>
        <v>47294</v>
      </c>
      <c r="F295" s="81"/>
      <c r="G295" s="82"/>
      <c r="H295" s="77">
        <f ca="1">IFERROR(__xludf.DUMMYFUNCTION("DATE(VALUE(LEFT($B$2,4)),VALUE(MID($B$2,6,2)),VALUE(RIGHT($B$2,2)))
+ (VALUE(REGEXEXTRACT(INDIRECT(""A""&amp;ROW()+1),""\d+""))-1)*7
+ INT((COLUMN()-COLUMN($B295))/3)
"),47295)</f>
        <v>47295</v>
      </c>
      <c r="I295" s="81"/>
      <c r="J295" s="82"/>
      <c r="K295" s="77">
        <f ca="1">IFERROR(__xludf.DUMMYFUNCTION("DATE(VALUE(LEFT($B$2,4)),VALUE(MID($B$2,6,2)),VALUE(RIGHT($B$2,2)))
+ (VALUE(REGEXEXTRACT(INDIRECT(""A""&amp;ROW()+1),""\d+""))-1)*7
+ INT((COLUMN()-COLUMN($B295))/3)
"),47296)</f>
        <v>47296</v>
      </c>
      <c r="L295" s="81"/>
      <c r="M295" s="82"/>
      <c r="N295" s="77">
        <f ca="1">IFERROR(__xludf.DUMMYFUNCTION("DATE(VALUE(LEFT($B$2,4)),VALUE(MID($B$2,6,2)),VALUE(RIGHT($B$2,2)))
+ (VALUE(REGEXEXTRACT(INDIRECT(""A""&amp;ROW()+1),""\d+""))-1)*7
+ INT((COLUMN()-COLUMN($B295))/3)
"),47297)</f>
        <v>47297</v>
      </c>
      <c r="O295" s="81"/>
      <c r="P295" s="82"/>
      <c r="Q295" s="77">
        <f ca="1">IFERROR(__xludf.DUMMYFUNCTION("DATE(VALUE(LEFT($B$2,4)),VALUE(MID($B$2,6,2)),VALUE(RIGHT($B$2,2)))
+ (VALUE(REGEXEXTRACT(INDIRECT(""A""&amp;ROW()+1),""\d+""))-1)*7
+ INT((COLUMN()-COLUMN($B295))/3)
"),47298)</f>
        <v>47298</v>
      </c>
      <c r="R295" s="81"/>
      <c r="S295" s="82"/>
      <c r="T295" s="77">
        <f ca="1">IFERROR(__xludf.DUMMYFUNCTION("DATE(VALUE(LEFT($B$2,4)),VALUE(MID($B$2,6,2)),VALUE(RIGHT($B$2,2)))
+ (VALUE(REGEXEXTRACT(INDIRECT(""A""&amp;ROW()+1),""\d+""))-1)*7
+ INT((COLUMN()-COLUMN($B295))/3)
"),47299)</f>
        <v>47299</v>
      </c>
      <c r="U295" s="81"/>
      <c r="V295" s="82"/>
      <c r="W295" s="143"/>
    </row>
    <row r="296" spans="1:23" ht="15.75" customHeight="1">
      <c r="A296" s="51" t="s">
        <v>154</v>
      </c>
      <c r="B296" s="112"/>
      <c r="C296" s="111"/>
      <c r="D296" s="17">
        <f>V294+C296</f>
        <v>-1459</v>
      </c>
      <c r="E296" s="109"/>
      <c r="F296" s="109"/>
      <c r="G296" s="42">
        <f>D306+F296</f>
        <v>-1459</v>
      </c>
      <c r="H296" s="112"/>
      <c r="I296" s="111"/>
      <c r="J296" s="17">
        <f>G306+I296</f>
        <v>-1459</v>
      </c>
      <c r="K296" s="109"/>
      <c r="L296" s="109"/>
      <c r="M296" s="35">
        <f>J306+L296</f>
        <v>-1459</v>
      </c>
      <c r="N296" s="112"/>
      <c r="O296" s="111"/>
      <c r="P296" s="17">
        <f>M306+O296</f>
        <v>-1459</v>
      </c>
      <c r="Q296" s="109"/>
      <c r="R296" s="109"/>
      <c r="S296" s="42">
        <f>P306+R296</f>
        <v>-1459</v>
      </c>
      <c r="T296" s="110"/>
      <c r="U296" s="111"/>
      <c r="V296" s="48">
        <f>S306+U296</f>
        <v>-1459</v>
      </c>
      <c r="W296" s="143"/>
    </row>
    <row r="297" spans="1:23" ht="15.75" customHeight="1">
      <c r="A297" s="114"/>
      <c r="B297" s="106"/>
      <c r="C297" s="107"/>
      <c r="D297" s="26">
        <f t="shared" ref="D297:D306" si="175">D296+C297</f>
        <v>-1459</v>
      </c>
      <c r="E297" s="117"/>
      <c r="F297" s="117"/>
      <c r="G297" s="19">
        <f t="shared" ref="G297:G306" si="176">G296+F297</f>
        <v>-1459</v>
      </c>
      <c r="H297" s="106"/>
      <c r="I297" s="107"/>
      <c r="J297" s="26">
        <f t="shared" ref="J297:J306" si="177">J296+I297</f>
        <v>-1459</v>
      </c>
      <c r="K297" s="117"/>
      <c r="L297" s="117"/>
      <c r="M297" s="38">
        <f t="shared" ref="M297:M306" si="178">M296+L297</f>
        <v>-1459</v>
      </c>
      <c r="N297" s="106"/>
      <c r="O297" s="107"/>
      <c r="P297" s="26">
        <f t="shared" ref="P297:P306" si="179">P296+O297</f>
        <v>-1459</v>
      </c>
      <c r="Q297" s="117"/>
      <c r="R297" s="117"/>
      <c r="S297" s="19">
        <f t="shared" ref="S297:S306" si="180">S296+R297</f>
        <v>-1459</v>
      </c>
      <c r="T297" s="106"/>
      <c r="U297" s="107"/>
      <c r="V297" s="20">
        <f t="shared" ref="V297:V306" si="181">V296+U297</f>
        <v>-1459</v>
      </c>
      <c r="W297" s="143"/>
    </row>
    <row r="298" spans="1:23" ht="15.75" customHeight="1">
      <c r="A298" s="114"/>
      <c r="B298" s="106"/>
      <c r="C298" s="107"/>
      <c r="D298" s="26">
        <f t="shared" si="175"/>
        <v>-1459</v>
      </c>
      <c r="E298" s="117"/>
      <c r="F298" s="117"/>
      <c r="G298" s="19">
        <f t="shared" si="176"/>
        <v>-1459</v>
      </c>
      <c r="H298" s="106"/>
      <c r="I298" s="107"/>
      <c r="J298" s="26">
        <f t="shared" si="177"/>
        <v>-1459</v>
      </c>
      <c r="K298" s="117"/>
      <c r="L298" s="117"/>
      <c r="M298" s="38">
        <f t="shared" si="178"/>
        <v>-1459</v>
      </c>
      <c r="N298" s="106"/>
      <c r="O298" s="107"/>
      <c r="P298" s="26">
        <f t="shared" si="179"/>
        <v>-1459</v>
      </c>
      <c r="Q298" s="117"/>
      <c r="R298" s="117"/>
      <c r="S298" s="19">
        <f t="shared" si="180"/>
        <v>-1459</v>
      </c>
      <c r="T298" s="106"/>
      <c r="U298" s="107"/>
      <c r="V298" s="20">
        <f t="shared" si="181"/>
        <v>-1459</v>
      </c>
      <c r="W298" s="143"/>
    </row>
    <row r="299" spans="1:23" ht="15.75" customHeight="1">
      <c r="A299" s="114"/>
      <c r="B299" s="106"/>
      <c r="C299" s="107"/>
      <c r="D299" s="26">
        <f t="shared" si="175"/>
        <v>-1459</v>
      </c>
      <c r="E299" s="117"/>
      <c r="F299" s="117"/>
      <c r="G299" s="19">
        <f t="shared" si="176"/>
        <v>-1459</v>
      </c>
      <c r="H299" s="106"/>
      <c r="I299" s="107"/>
      <c r="J299" s="26">
        <f t="shared" si="177"/>
        <v>-1459</v>
      </c>
      <c r="K299" s="117"/>
      <c r="L299" s="117"/>
      <c r="M299" s="38">
        <f t="shared" si="178"/>
        <v>-1459</v>
      </c>
      <c r="N299" s="106"/>
      <c r="O299" s="107"/>
      <c r="P299" s="26">
        <f t="shared" si="179"/>
        <v>-1459</v>
      </c>
      <c r="Q299" s="117"/>
      <c r="R299" s="117"/>
      <c r="S299" s="19">
        <f t="shared" si="180"/>
        <v>-1459</v>
      </c>
      <c r="T299" s="116"/>
      <c r="U299" s="116"/>
      <c r="V299" s="20">
        <f t="shared" si="181"/>
        <v>-1459</v>
      </c>
      <c r="W299" s="143"/>
    </row>
    <row r="300" spans="1:23" ht="15.75" customHeight="1">
      <c r="A300" s="114"/>
      <c r="B300" s="106"/>
      <c r="C300" s="107"/>
      <c r="D300" s="26">
        <f t="shared" si="175"/>
        <v>-1459</v>
      </c>
      <c r="E300" s="117"/>
      <c r="F300" s="117"/>
      <c r="G300" s="19">
        <f t="shared" si="176"/>
        <v>-1459</v>
      </c>
      <c r="H300" s="106"/>
      <c r="I300" s="107"/>
      <c r="J300" s="26">
        <f t="shared" si="177"/>
        <v>-1459</v>
      </c>
      <c r="K300" s="117"/>
      <c r="L300" s="117"/>
      <c r="M300" s="38">
        <f t="shared" si="178"/>
        <v>-1459</v>
      </c>
      <c r="N300" s="106"/>
      <c r="O300" s="107"/>
      <c r="P300" s="26">
        <f t="shared" si="179"/>
        <v>-1459</v>
      </c>
      <c r="Q300" s="117"/>
      <c r="R300" s="117"/>
      <c r="S300" s="19">
        <f t="shared" si="180"/>
        <v>-1459</v>
      </c>
      <c r="T300" s="116"/>
      <c r="U300" s="116"/>
      <c r="V300" s="20">
        <f t="shared" si="181"/>
        <v>-1459</v>
      </c>
      <c r="W300" s="143"/>
    </row>
    <row r="301" spans="1:23" ht="15.75" customHeight="1">
      <c r="A301" s="114"/>
      <c r="B301" s="106"/>
      <c r="C301" s="107"/>
      <c r="D301" s="26">
        <f t="shared" si="175"/>
        <v>-1459</v>
      </c>
      <c r="E301" s="117"/>
      <c r="F301" s="117"/>
      <c r="G301" s="19">
        <f t="shared" si="176"/>
        <v>-1459</v>
      </c>
      <c r="H301" s="106"/>
      <c r="I301" s="107"/>
      <c r="J301" s="26">
        <f t="shared" si="177"/>
        <v>-1459</v>
      </c>
      <c r="K301" s="117"/>
      <c r="L301" s="117"/>
      <c r="M301" s="38">
        <f t="shared" si="178"/>
        <v>-1459</v>
      </c>
      <c r="N301" s="106"/>
      <c r="O301" s="107"/>
      <c r="P301" s="26">
        <f t="shared" si="179"/>
        <v>-1459</v>
      </c>
      <c r="Q301" s="117"/>
      <c r="R301" s="117"/>
      <c r="S301" s="19">
        <f t="shared" si="180"/>
        <v>-1459</v>
      </c>
      <c r="T301" s="116"/>
      <c r="U301" s="116"/>
      <c r="V301" s="20">
        <f t="shared" si="181"/>
        <v>-1459</v>
      </c>
      <c r="W301" s="143"/>
    </row>
    <row r="302" spans="1:23" ht="15.75" customHeight="1">
      <c r="A302" s="114"/>
      <c r="B302" s="106"/>
      <c r="C302" s="107"/>
      <c r="D302" s="26">
        <f t="shared" si="175"/>
        <v>-1459</v>
      </c>
      <c r="E302" s="117"/>
      <c r="F302" s="117"/>
      <c r="G302" s="19">
        <f t="shared" si="176"/>
        <v>-1459</v>
      </c>
      <c r="H302" s="106"/>
      <c r="I302" s="107"/>
      <c r="J302" s="26">
        <f t="shared" si="177"/>
        <v>-1459</v>
      </c>
      <c r="K302" s="117"/>
      <c r="L302" s="117"/>
      <c r="M302" s="38">
        <f t="shared" si="178"/>
        <v>-1459</v>
      </c>
      <c r="N302" s="106"/>
      <c r="O302" s="107"/>
      <c r="P302" s="26">
        <f t="shared" si="179"/>
        <v>-1459</v>
      </c>
      <c r="Q302" s="117"/>
      <c r="R302" s="117"/>
      <c r="S302" s="19">
        <f t="shared" si="180"/>
        <v>-1459</v>
      </c>
      <c r="T302" s="116"/>
      <c r="U302" s="116"/>
      <c r="V302" s="20">
        <f t="shared" si="181"/>
        <v>-1459</v>
      </c>
      <c r="W302" s="143"/>
    </row>
    <row r="303" spans="1:23" ht="15.75" customHeight="1">
      <c r="A303" s="114"/>
      <c r="B303" s="106"/>
      <c r="C303" s="107"/>
      <c r="D303" s="26">
        <f t="shared" si="175"/>
        <v>-1459</v>
      </c>
      <c r="E303" s="117"/>
      <c r="F303" s="117"/>
      <c r="G303" s="19">
        <f t="shared" si="176"/>
        <v>-1459</v>
      </c>
      <c r="H303" s="106"/>
      <c r="I303" s="107"/>
      <c r="J303" s="26">
        <f t="shared" si="177"/>
        <v>-1459</v>
      </c>
      <c r="K303" s="117"/>
      <c r="L303" s="117"/>
      <c r="M303" s="38">
        <f t="shared" si="178"/>
        <v>-1459</v>
      </c>
      <c r="N303" s="106"/>
      <c r="O303" s="107"/>
      <c r="P303" s="26">
        <f t="shared" si="179"/>
        <v>-1459</v>
      </c>
      <c r="Q303" s="117"/>
      <c r="R303" s="117"/>
      <c r="S303" s="19">
        <f t="shared" si="180"/>
        <v>-1459</v>
      </c>
      <c r="T303" s="116"/>
      <c r="U303" s="116"/>
      <c r="V303" s="20">
        <f t="shared" si="181"/>
        <v>-1459</v>
      </c>
      <c r="W303" s="143"/>
    </row>
    <row r="304" spans="1:23" ht="15.75" customHeight="1">
      <c r="A304" s="114"/>
      <c r="B304" s="122"/>
      <c r="C304" s="123"/>
      <c r="D304" s="26">
        <f t="shared" si="175"/>
        <v>-1459</v>
      </c>
      <c r="E304" s="117"/>
      <c r="F304" s="117"/>
      <c r="G304" s="19">
        <f t="shared" si="176"/>
        <v>-1459</v>
      </c>
      <c r="H304" s="122"/>
      <c r="I304" s="123"/>
      <c r="J304" s="26">
        <f t="shared" si="177"/>
        <v>-1459</v>
      </c>
      <c r="K304" s="117"/>
      <c r="L304" s="117"/>
      <c r="M304" s="38">
        <f t="shared" si="178"/>
        <v>-1459</v>
      </c>
      <c r="N304" s="122"/>
      <c r="O304" s="123"/>
      <c r="P304" s="26">
        <f t="shared" si="179"/>
        <v>-1459</v>
      </c>
      <c r="Q304" s="117"/>
      <c r="R304" s="117"/>
      <c r="S304" s="19">
        <f t="shared" si="180"/>
        <v>-1459</v>
      </c>
      <c r="T304" s="116"/>
      <c r="U304" s="116"/>
      <c r="V304" s="20">
        <f t="shared" si="181"/>
        <v>-1459</v>
      </c>
      <c r="W304" s="143"/>
    </row>
    <row r="305" spans="1:23" ht="15.75" customHeight="1">
      <c r="A305" s="114"/>
      <c r="B305" s="122"/>
      <c r="C305" s="123"/>
      <c r="D305" s="26">
        <f t="shared" si="175"/>
        <v>-1459</v>
      </c>
      <c r="E305" s="117"/>
      <c r="F305" s="117"/>
      <c r="G305" s="19">
        <f t="shared" si="176"/>
        <v>-1459</v>
      </c>
      <c r="H305" s="122"/>
      <c r="I305" s="123"/>
      <c r="J305" s="26">
        <f t="shared" si="177"/>
        <v>-1459</v>
      </c>
      <c r="K305" s="117"/>
      <c r="L305" s="117"/>
      <c r="M305" s="38">
        <f t="shared" si="178"/>
        <v>-1459</v>
      </c>
      <c r="N305" s="122"/>
      <c r="O305" s="123"/>
      <c r="P305" s="26">
        <f t="shared" si="179"/>
        <v>-1459</v>
      </c>
      <c r="Q305" s="117"/>
      <c r="R305" s="117"/>
      <c r="S305" s="19">
        <f t="shared" si="180"/>
        <v>-1459</v>
      </c>
      <c r="T305" s="124"/>
      <c r="U305" s="124"/>
      <c r="V305" s="20">
        <f t="shared" si="181"/>
        <v>-1459</v>
      </c>
      <c r="W305" s="143"/>
    </row>
    <row r="306" spans="1:23" ht="15.75" customHeight="1">
      <c r="A306" s="114"/>
      <c r="B306" s="122"/>
      <c r="C306" s="123"/>
      <c r="D306" s="39">
        <f t="shared" si="175"/>
        <v>-1459</v>
      </c>
      <c r="E306" s="128"/>
      <c r="F306" s="128"/>
      <c r="G306" s="29">
        <f t="shared" si="176"/>
        <v>-1459</v>
      </c>
      <c r="H306" s="122"/>
      <c r="I306" s="123"/>
      <c r="J306" s="39">
        <f t="shared" si="177"/>
        <v>-1459</v>
      </c>
      <c r="K306" s="128"/>
      <c r="L306" s="128"/>
      <c r="M306" s="40">
        <f t="shared" si="178"/>
        <v>-1459</v>
      </c>
      <c r="N306" s="122"/>
      <c r="O306" s="123"/>
      <c r="P306" s="39">
        <f t="shared" si="179"/>
        <v>-1459</v>
      </c>
      <c r="Q306" s="128"/>
      <c r="R306" s="128"/>
      <c r="S306" s="29">
        <f t="shared" si="180"/>
        <v>-1459</v>
      </c>
      <c r="T306" s="124"/>
      <c r="U306" s="123"/>
      <c r="V306" s="49">
        <f t="shared" si="181"/>
        <v>-1459</v>
      </c>
      <c r="W306" s="143"/>
    </row>
    <row r="307" spans="1:23" ht="15.75" customHeight="1">
      <c r="A307" s="87"/>
      <c r="B307" s="77">
        <f ca="1">IFERROR(__xludf.DUMMYFUNCTION("DATE(VALUE(LEFT($B$2,4)),VALUE(MID($B$2,6,2)),VALUE(RIGHT($B$2,2)))
+ (VALUE(REGEXEXTRACT(INDIRECT(""A""&amp;ROW()+1),""\d+""))-1)*7
+ INT((COLUMN()-COLUMN($B307))/3)
"),47300)</f>
        <v>47300</v>
      </c>
      <c r="C307" s="81"/>
      <c r="D307" s="82"/>
      <c r="E307" s="77">
        <f ca="1">IFERROR(__xludf.DUMMYFUNCTION("DATE(VALUE(LEFT($B$2,4)),VALUE(MID($B$2,6,2)),VALUE(RIGHT($B$2,2)))
+ (VALUE(REGEXEXTRACT(INDIRECT(""A""&amp;ROW()+1),""\d+""))-1)*7
+ INT((COLUMN()-COLUMN($B307))/3)
"),47301)</f>
        <v>47301</v>
      </c>
      <c r="F307" s="81"/>
      <c r="G307" s="82"/>
      <c r="H307" s="77">
        <f ca="1">IFERROR(__xludf.DUMMYFUNCTION("DATE(VALUE(LEFT($B$2,4)),VALUE(MID($B$2,6,2)),VALUE(RIGHT($B$2,2)))
+ (VALUE(REGEXEXTRACT(INDIRECT(""A""&amp;ROW()+1),""\d+""))-1)*7
+ INT((COLUMN()-COLUMN($B307))/3)
"),47302)</f>
        <v>47302</v>
      </c>
      <c r="I307" s="81"/>
      <c r="J307" s="82"/>
      <c r="K307" s="77">
        <f ca="1">IFERROR(__xludf.DUMMYFUNCTION("DATE(VALUE(LEFT($B$2,4)),VALUE(MID($B$2,6,2)),VALUE(RIGHT($B$2,2)))
+ (VALUE(REGEXEXTRACT(INDIRECT(""A""&amp;ROW()+1),""\d+""))-1)*7
+ INT((COLUMN()-COLUMN($B307))/3)
"),47303)</f>
        <v>47303</v>
      </c>
      <c r="L307" s="81"/>
      <c r="M307" s="82"/>
      <c r="N307" s="77">
        <f ca="1">IFERROR(__xludf.DUMMYFUNCTION("DATE(VALUE(LEFT($B$2,4)),VALUE(MID($B$2,6,2)),VALUE(RIGHT($B$2,2)))
+ (VALUE(REGEXEXTRACT(INDIRECT(""A""&amp;ROW()+1),""\d+""))-1)*7
+ INT((COLUMN()-COLUMN($B307))/3)
"),47304)</f>
        <v>47304</v>
      </c>
      <c r="O307" s="81"/>
      <c r="P307" s="82"/>
      <c r="Q307" s="77">
        <f ca="1">IFERROR(__xludf.DUMMYFUNCTION("DATE(VALUE(LEFT($B$2,4)),VALUE(MID($B$2,6,2)),VALUE(RIGHT($B$2,2)))
+ (VALUE(REGEXEXTRACT(INDIRECT(""A""&amp;ROW()+1),""\d+""))-1)*7
+ INT((COLUMN()-COLUMN($B307))/3)
"),47305)</f>
        <v>47305</v>
      </c>
      <c r="R307" s="81"/>
      <c r="S307" s="82"/>
      <c r="T307" s="77">
        <f ca="1">IFERROR(__xludf.DUMMYFUNCTION("DATE(VALUE(LEFT($B$2,4)),VALUE(MID($B$2,6,2)),VALUE(RIGHT($B$2,2)))
+ (VALUE(REGEXEXTRACT(INDIRECT(""A""&amp;ROW()+1),""\d+""))-1)*7
+ INT((COLUMN()-COLUMN($B307))/3)
"),47306)</f>
        <v>47306</v>
      </c>
      <c r="U307" s="81"/>
      <c r="V307" s="82"/>
      <c r="W307" s="52" t="s">
        <v>20</v>
      </c>
    </row>
    <row r="308" spans="1:23" ht="15.75" customHeight="1">
      <c r="A308" s="47" t="s">
        <v>155</v>
      </c>
      <c r="B308" s="113"/>
      <c r="C308" s="109"/>
      <c r="D308" s="50">
        <f>V306+C308</f>
        <v>-1459</v>
      </c>
      <c r="E308" s="179"/>
      <c r="F308" s="180"/>
      <c r="G308" s="36">
        <f>D318+F308</f>
        <v>-1459</v>
      </c>
      <c r="H308" s="132"/>
      <c r="I308" s="109"/>
      <c r="J308" s="42">
        <f>G318+I308</f>
        <v>-1459</v>
      </c>
      <c r="K308" s="110"/>
      <c r="L308" s="111"/>
      <c r="M308" s="18">
        <f>J318+L308</f>
        <v>-1459</v>
      </c>
      <c r="N308" s="113"/>
      <c r="O308" s="109"/>
      <c r="P308" s="35">
        <f>M318+O308</f>
        <v>-1459</v>
      </c>
      <c r="Q308" s="112"/>
      <c r="R308" s="111"/>
      <c r="S308" s="17">
        <f>P318+R308</f>
        <v>-1459</v>
      </c>
      <c r="T308" s="176"/>
      <c r="U308" s="173"/>
      <c r="V308" s="50">
        <f>S318+U308</f>
        <v>-1459</v>
      </c>
      <c r="W308" s="172"/>
    </row>
    <row r="309" spans="1:23" ht="15.75" customHeight="1">
      <c r="A309" s="114"/>
      <c r="B309" s="118"/>
      <c r="C309" s="117"/>
      <c r="D309" s="45">
        <f t="shared" ref="D309:D318" si="182">D308+C309</f>
        <v>-1459</v>
      </c>
      <c r="E309" s="106"/>
      <c r="F309" s="107"/>
      <c r="G309" s="26">
        <f t="shared" ref="G309:G318" si="183">G308+F309</f>
        <v>-1459</v>
      </c>
      <c r="H309" s="133"/>
      <c r="I309" s="117"/>
      <c r="J309" s="19">
        <f t="shared" ref="J309:J318" si="184">J308+I309</f>
        <v>-1459</v>
      </c>
      <c r="K309" s="116"/>
      <c r="L309" s="107"/>
      <c r="M309" s="26">
        <f t="shared" ref="M309:M318" si="185">M308+L309</f>
        <v>-1459</v>
      </c>
      <c r="N309" s="118"/>
      <c r="O309" s="117"/>
      <c r="P309" s="38">
        <f t="shared" ref="P309:P318" si="186">P308+O309</f>
        <v>-1459</v>
      </c>
      <c r="Q309" s="106"/>
      <c r="R309" s="107"/>
      <c r="S309" s="26">
        <f t="shared" ref="S309:S318" si="187">S308+R309</f>
        <v>-1459</v>
      </c>
      <c r="T309" s="177"/>
      <c r="U309" s="136"/>
      <c r="V309" s="45">
        <f t="shared" ref="V309:V318" si="188">V308+U309</f>
        <v>-1459</v>
      </c>
      <c r="W309" s="143"/>
    </row>
    <row r="310" spans="1:23" ht="15.75" customHeight="1">
      <c r="A310" s="114"/>
      <c r="B310" s="118"/>
      <c r="C310" s="117"/>
      <c r="D310" s="45">
        <f t="shared" si="182"/>
        <v>-1459</v>
      </c>
      <c r="E310" s="106"/>
      <c r="F310" s="107"/>
      <c r="G310" s="26">
        <f t="shared" si="183"/>
        <v>-1459</v>
      </c>
      <c r="H310" s="133"/>
      <c r="I310" s="117"/>
      <c r="J310" s="19">
        <f t="shared" si="184"/>
        <v>-1459</v>
      </c>
      <c r="K310" s="116"/>
      <c r="L310" s="107"/>
      <c r="M310" s="26">
        <f t="shared" si="185"/>
        <v>-1459</v>
      </c>
      <c r="N310" s="117"/>
      <c r="O310" s="117"/>
      <c r="P310" s="38">
        <f t="shared" si="186"/>
        <v>-1459</v>
      </c>
      <c r="Q310" s="106"/>
      <c r="R310" s="107"/>
      <c r="S310" s="26">
        <f t="shared" si="187"/>
        <v>-1459</v>
      </c>
      <c r="T310" s="177"/>
      <c r="U310" s="136"/>
      <c r="V310" s="45">
        <f t="shared" si="188"/>
        <v>-1459</v>
      </c>
      <c r="W310" s="143"/>
    </row>
    <row r="311" spans="1:23" ht="15.75" customHeight="1">
      <c r="A311" s="114"/>
      <c r="B311" s="118"/>
      <c r="C311" s="117"/>
      <c r="D311" s="45">
        <f t="shared" si="182"/>
        <v>-1459</v>
      </c>
      <c r="E311" s="106"/>
      <c r="F311" s="107"/>
      <c r="G311" s="26">
        <f t="shared" si="183"/>
        <v>-1459</v>
      </c>
      <c r="H311" s="133"/>
      <c r="I311" s="117"/>
      <c r="J311" s="19">
        <f t="shared" si="184"/>
        <v>-1459</v>
      </c>
      <c r="K311" s="116"/>
      <c r="L311" s="107"/>
      <c r="M311" s="26">
        <f t="shared" si="185"/>
        <v>-1459</v>
      </c>
      <c r="N311" s="117"/>
      <c r="O311" s="117"/>
      <c r="P311" s="38">
        <f t="shared" si="186"/>
        <v>-1459</v>
      </c>
      <c r="Q311" s="106"/>
      <c r="R311" s="107"/>
      <c r="S311" s="26">
        <f t="shared" si="187"/>
        <v>-1459</v>
      </c>
      <c r="T311" s="177"/>
      <c r="U311" s="136"/>
      <c r="V311" s="45">
        <f t="shared" si="188"/>
        <v>-1459</v>
      </c>
      <c r="W311" s="143"/>
    </row>
    <row r="312" spans="1:23" ht="15.75" customHeight="1">
      <c r="A312" s="114"/>
      <c r="B312" s="118"/>
      <c r="C312" s="117"/>
      <c r="D312" s="45">
        <f t="shared" si="182"/>
        <v>-1459</v>
      </c>
      <c r="E312" s="106"/>
      <c r="F312" s="107"/>
      <c r="G312" s="26">
        <f t="shared" si="183"/>
        <v>-1459</v>
      </c>
      <c r="H312" s="133"/>
      <c r="I312" s="117"/>
      <c r="J312" s="19">
        <f t="shared" si="184"/>
        <v>-1459</v>
      </c>
      <c r="K312" s="116"/>
      <c r="L312" s="107"/>
      <c r="M312" s="26">
        <f t="shared" si="185"/>
        <v>-1459</v>
      </c>
      <c r="N312" s="117"/>
      <c r="O312" s="117"/>
      <c r="P312" s="38">
        <f t="shared" si="186"/>
        <v>-1459</v>
      </c>
      <c r="Q312" s="106"/>
      <c r="R312" s="107"/>
      <c r="S312" s="26">
        <f t="shared" si="187"/>
        <v>-1459</v>
      </c>
      <c r="T312" s="177"/>
      <c r="U312" s="136"/>
      <c r="V312" s="45">
        <f t="shared" si="188"/>
        <v>-1459</v>
      </c>
      <c r="W312" s="143"/>
    </row>
    <row r="313" spans="1:23" ht="15.75" customHeight="1">
      <c r="A313" s="114"/>
      <c r="B313" s="118"/>
      <c r="C313" s="117"/>
      <c r="D313" s="45">
        <f t="shared" si="182"/>
        <v>-1459</v>
      </c>
      <c r="E313" s="106"/>
      <c r="F313" s="107"/>
      <c r="G313" s="26">
        <f t="shared" si="183"/>
        <v>-1459</v>
      </c>
      <c r="H313" s="133"/>
      <c r="I313" s="117"/>
      <c r="J313" s="19">
        <f t="shared" si="184"/>
        <v>-1459</v>
      </c>
      <c r="K313" s="116"/>
      <c r="L313" s="107"/>
      <c r="M313" s="26">
        <f t="shared" si="185"/>
        <v>-1459</v>
      </c>
      <c r="N313" s="117"/>
      <c r="O313" s="117"/>
      <c r="P313" s="38">
        <f t="shared" si="186"/>
        <v>-1459</v>
      </c>
      <c r="Q313" s="106"/>
      <c r="R313" s="107"/>
      <c r="S313" s="26">
        <f t="shared" si="187"/>
        <v>-1459</v>
      </c>
      <c r="T313" s="177"/>
      <c r="U313" s="136"/>
      <c r="V313" s="45">
        <f t="shared" si="188"/>
        <v>-1459</v>
      </c>
      <c r="W313" s="143"/>
    </row>
    <row r="314" spans="1:23" ht="15.75" customHeight="1">
      <c r="A314" s="114"/>
      <c r="B314" s="117"/>
      <c r="C314" s="117"/>
      <c r="D314" s="45">
        <f t="shared" si="182"/>
        <v>-1459</v>
      </c>
      <c r="E314" s="106"/>
      <c r="F314" s="107"/>
      <c r="G314" s="26">
        <f t="shared" si="183"/>
        <v>-1459</v>
      </c>
      <c r="H314" s="133"/>
      <c r="I314" s="117"/>
      <c r="J314" s="19">
        <f t="shared" si="184"/>
        <v>-1459</v>
      </c>
      <c r="K314" s="106"/>
      <c r="L314" s="107"/>
      <c r="M314" s="26">
        <f t="shared" si="185"/>
        <v>-1459</v>
      </c>
      <c r="N314" s="117"/>
      <c r="O314" s="117"/>
      <c r="P314" s="38">
        <f t="shared" si="186"/>
        <v>-1459</v>
      </c>
      <c r="Q314" s="106"/>
      <c r="R314" s="107"/>
      <c r="S314" s="26">
        <f t="shared" si="187"/>
        <v>-1459</v>
      </c>
      <c r="T314" s="177"/>
      <c r="U314" s="136"/>
      <c r="V314" s="45">
        <f t="shared" si="188"/>
        <v>-1459</v>
      </c>
      <c r="W314" s="143"/>
    </row>
    <row r="315" spans="1:23" ht="15.75" customHeight="1">
      <c r="A315" s="114"/>
      <c r="B315" s="117"/>
      <c r="C315" s="117"/>
      <c r="D315" s="45">
        <f t="shared" si="182"/>
        <v>-1459</v>
      </c>
      <c r="E315" s="106"/>
      <c r="F315" s="107"/>
      <c r="G315" s="26">
        <f t="shared" si="183"/>
        <v>-1459</v>
      </c>
      <c r="H315" s="133"/>
      <c r="I315" s="117"/>
      <c r="J315" s="19">
        <f t="shared" si="184"/>
        <v>-1459</v>
      </c>
      <c r="K315" s="106"/>
      <c r="L315" s="107"/>
      <c r="M315" s="26">
        <f t="shared" si="185"/>
        <v>-1459</v>
      </c>
      <c r="N315" s="117"/>
      <c r="O315" s="117"/>
      <c r="P315" s="38">
        <f t="shared" si="186"/>
        <v>-1459</v>
      </c>
      <c r="Q315" s="106"/>
      <c r="R315" s="107"/>
      <c r="S315" s="26">
        <f t="shared" si="187"/>
        <v>-1459</v>
      </c>
      <c r="T315" s="177"/>
      <c r="U315" s="136"/>
      <c r="V315" s="45">
        <f t="shared" si="188"/>
        <v>-1459</v>
      </c>
      <c r="W315" s="143"/>
    </row>
    <row r="316" spans="1:23" ht="15.75" customHeight="1">
      <c r="A316" s="114"/>
      <c r="B316" s="117"/>
      <c r="C316" s="117"/>
      <c r="D316" s="45">
        <f t="shared" si="182"/>
        <v>-1459</v>
      </c>
      <c r="E316" s="106"/>
      <c r="F316" s="107"/>
      <c r="G316" s="26">
        <f t="shared" si="183"/>
        <v>-1459</v>
      </c>
      <c r="H316" s="133"/>
      <c r="I316" s="117"/>
      <c r="J316" s="19">
        <f t="shared" si="184"/>
        <v>-1459</v>
      </c>
      <c r="K316" s="106"/>
      <c r="L316" s="107"/>
      <c r="M316" s="26">
        <f t="shared" si="185"/>
        <v>-1459</v>
      </c>
      <c r="N316" s="117"/>
      <c r="O316" s="117"/>
      <c r="P316" s="38">
        <f t="shared" si="186"/>
        <v>-1459</v>
      </c>
      <c r="Q316" s="106"/>
      <c r="R316" s="107"/>
      <c r="S316" s="26">
        <f t="shared" si="187"/>
        <v>-1459</v>
      </c>
      <c r="T316" s="177"/>
      <c r="U316" s="136"/>
      <c r="V316" s="45">
        <f t="shared" si="188"/>
        <v>-1459</v>
      </c>
      <c r="W316" s="143"/>
    </row>
    <row r="317" spans="1:23" ht="15.75" customHeight="1">
      <c r="A317" s="114"/>
      <c r="B317" s="117"/>
      <c r="C317" s="117"/>
      <c r="D317" s="45">
        <f t="shared" si="182"/>
        <v>-1459</v>
      </c>
      <c r="E317" s="122"/>
      <c r="F317" s="123"/>
      <c r="G317" s="26">
        <f t="shared" si="183"/>
        <v>-1459</v>
      </c>
      <c r="H317" s="133"/>
      <c r="I317" s="117"/>
      <c r="J317" s="19">
        <f t="shared" si="184"/>
        <v>-1459</v>
      </c>
      <c r="K317" s="122"/>
      <c r="L317" s="123"/>
      <c r="M317" s="26">
        <f t="shared" si="185"/>
        <v>-1459</v>
      </c>
      <c r="N317" s="117"/>
      <c r="O317" s="117"/>
      <c r="P317" s="38">
        <f t="shared" si="186"/>
        <v>-1459</v>
      </c>
      <c r="Q317" s="122"/>
      <c r="R317" s="123"/>
      <c r="S317" s="26">
        <f t="shared" si="187"/>
        <v>-1459</v>
      </c>
      <c r="T317" s="177"/>
      <c r="U317" s="136"/>
      <c r="V317" s="45">
        <f t="shared" si="188"/>
        <v>-1459</v>
      </c>
      <c r="W317" s="143"/>
    </row>
    <row r="318" spans="1:23" ht="15.75" customHeight="1">
      <c r="A318" s="114"/>
      <c r="B318" s="128"/>
      <c r="C318" s="128"/>
      <c r="D318" s="46">
        <f t="shared" si="182"/>
        <v>-1459</v>
      </c>
      <c r="E318" s="122"/>
      <c r="F318" s="123"/>
      <c r="G318" s="39">
        <f t="shared" si="183"/>
        <v>-1459</v>
      </c>
      <c r="H318" s="140"/>
      <c r="I318" s="128"/>
      <c r="J318" s="29">
        <f t="shared" si="184"/>
        <v>-1459</v>
      </c>
      <c r="K318" s="122"/>
      <c r="L318" s="123"/>
      <c r="M318" s="39">
        <f t="shared" si="185"/>
        <v>-1459</v>
      </c>
      <c r="N318" s="128"/>
      <c r="O318" s="128"/>
      <c r="P318" s="40">
        <f t="shared" si="186"/>
        <v>-1459</v>
      </c>
      <c r="Q318" s="122"/>
      <c r="R318" s="123"/>
      <c r="S318" s="39">
        <f t="shared" si="187"/>
        <v>-1459</v>
      </c>
      <c r="T318" s="178"/>
      <c r="U318" s="141"/>
      <c r="V318" s="46">
        <f t="shared" si="188"/>
        <v>-1459</v>
      </c>
      <c r="W318" s="143"/>
    </row>
    <row r="319" spans="1:23" ht="15.75" customHeight="1">
      <c r="A319" s="87"/>
      <c r="B319" s="77">
        <f ca="1">IFERROR(__xludf.DUMMYFUNCTION("DATE(VALUE(LEFT($B$2,4)),VALUE(MID($B$2,6,2)),VALUE(RIGHT($B$2,2)))
+ (VALUE(REGEXEXTRACT(INDIRECT(""A""&amp;ROW()+1),""\d+""))-1)*7
+ INT((COLUMN()-COLUMN($B319))/3)
"),47307)</f>
        <v>47307</v>
      </c>
      <c r="C319" s="81"/>
      <c r="D319" s="82"/>
      <c r="E319" s="77">
        <f ca="1">IFERROR(__xludf.DUMMYFUNCTION("DATE(VALUE(LEFT($B$2,4)),VALUE(MID($B$2,6,2)),VALUE(RIGHT($B$2,2)))
+ (VALUE(REGEXEXTRACT(INDIRECT(""A""&amp;ROW()+1),""\d+""))-1)*7
+ INT((COLUMN()-COLUMN($B319))/3)
"),47308)</f>
        <v>47308</v>
      </c>
      <c r="F319" s="81"/>
      <c r="G319" s="82"/>
      <c r="H319" s="77">
        <f ca="1">IFERROR(__xludf.DUMMYFUNCTION("DATE(VALUE(LEFT($B$2,4)),VALUE(MID($B$2,6,2)),VALUE(RIGHT($B$2,2)))
+ (VALUE(REGEXEXTRACT(INDIRECT(""A""&amp;ROW()+1),""\d+""))-1)*7
+ INT((COLUMN()-COLUMN($B319))/3)
"),47309)</f>
        <v>47309</v>
      </c>
      <c r="I319" s="81"/>
      <c r="J319" s="82"/>
      <c r="K319" s="77">
        <f ca="1">IFERROR(__xludf.DUMMYFUNCTION("DATE(VALUE(LEFT($B$2,4)),VALUE(MID($B$2,6,2)),VALUE(RIGHT($B$2,2)))
+ (VALUE(REGEXEXTRACT(INDIRECT(""A""&amp;ROW()+1),""\d+""))-1)*7
+ INT((COLUMN()-COLUMN($B319))/3)
"),47310)</f>
        <v>47310</v>
      </c>
      <c r="L319" s="81"/>
      <c r="M319" s="82"/>
      <c r="N319" s="77">
        <f ca="1">IFERROR(__xludf.DUMMYFUNCTION("DATE(VALUE(LEFT($B$2,4)),VALUE(MID($B$2,6,2)),VALUE(RIGHT($B$2,2)))
+ (VALUE(REGEXEXTRACT(INDIRECT(""A""&amp;ROW()+1),""\d+""))-1)*7
+ INT((COLUMN()-COLUMN($B319))/3)
"),47311)</f>
        <v>47311</v>
      </c>
      <c r="O319" s="81"/>
      <c r="P319" s="82"/>
      <c r="Q319" s="77">
        <f ca="1">IFERROR(__xludf.DUMMYFUNCTION("DATE(VALUE(LEFT($B$2,4)),VALUE(MID($B$2,6,2)),VALUE(RIGHT($B$2,2)))
+ (VALUE(REGEXEXTRACT(INDIRECT(""A""&amp;ROW()+1),""\d+""))-1)*7
+ INT((COLUMN()-COLUMN($B319))/3)
"),47312)</f>
        <v>47312</v>
      </c>
      <c r="R319" s="81"/>
      <c r="S319" s="82"/>
      <c r="T319" s="77">
        <f ca="1">IFERROR(__xludf.DUMMYFUNCTION("DATE(VALUE(LEFT($B$2,4)),VALUE(MID($B$2,6,2)),VALUE(RIGHT($B$2,2)))
+ (VALUE(REGEXEXTRACT(INDIRECT(""A""&amp;ROW()+1),""\d+""))-1)*7
+ INT((COLUMN()-COLUMN($B319))/3)
"),47313)</f>
        <v>47313</v>
      </c>
      <c r="U319" s="81"/>
      <c r="V319" s="82"/>
      <c r="W319" s="143"/>
    </row>
    <row r="320" spans="1:23" ht="15.75" customHeight="1">
      <c r="A320" s="51" t="s">
        <v>156</v>
      </c>
      <c r="B320" s="112"/>
      <c r="C320" s="111"/>
      <c r="D320" s="48">
        <f>V318+C320</f>
        <v>-1459</v>
      </c>
      <c r="E320" s="113"/>
      <c r="F320" s="109"/>
      <c r="G320" s="42">
        <f>D330+F320</f>
        <v>-1459</v>
      </c>
      <c r="H320" s="110"/>
      <c r="I320" s="111"/>
      <c r="J320" s="17">
        <f>G330+I320</f>
        <v>-1459</v>
      </c>
      <c r="K320" s="109"/>
      <c r="L320" s="109"/>
      <c r="M320" s="35">
        <f>J330+L320</f>
        <v>-1459</v>
      </c>
      <c r="N320" s="112"/>
      <c r="O320" s="111"/>
      <c r="P320" s="17">
        <f>M330+O320</f>
        <v>-1459</v>
      </c>
      <c r="Q320" s="109"/>
      <c r="R320" s="109"/>
      <c r="S320" s="42">
        <f>P330+R320</f>
        <v>-1459</v>
      </c>
      <c r="T320" s="110"/>
      <c r="U320" s="111"/>
      <c r="V320" s="48">
        <f>S330+U320</f>
        <v>-1459</v>
      </c>
      <c r="W320" s="143"/>
    </row>
    <row r="321" spans="1:23" ht="15.75" customHeight="1">
      <c r="A321" s="114"/>
      <c r="B321" s="106"/>
      <c r="C321" s="107"/>
      <c r="D321" s="20">
        <f t="shared" ref="D321:D330" si="189">D320+C321</f>
        <v>-1459</v>
      </c>
      <c r="E321" s="118"/>
      <c r="F321" s="117"/>
      <c r="G321" s="19">
        <f t="shared" ref="G321:G330" si="190">G320+F321</f>
        <v>-1459</v>
      </c>
      <c r="H321" s="116"/>
      <c r="I321" s="107"/>
      <c r="J321" s="26">
        <f t="shared" ref="J321:J330" si="191">J320+I321</f>
        <v>-1459</v>
      </c>
      <c r="K321" s="117"/>
      <c r="L321" s="117"/>
      <c r="M321" s="38">
        <f t="shared" ref="M321:M330" si="192">M320+L321</f>
        <v>-1459</v>
      </c>
      <c r="N321" s="106"/>
      <c r="O321" s="107"/>
      <c r="P321" s="26">
        <f t="shared" ref="P321:P330" si="193">P320+O321</f>
        <v>-1459</v>
      </c>
      <c r="Q321" s="117"/>
      <c r="R321" s="117"/>
      <c r="S321" s="19">
        <f t="shared" ref="S321:S330" si="194">S320+R321</f>
        <v>-1459</v>
      </c>
      <c r="T321" s="116"/>
      <c r="U321" s="107"/>
      <c r="V321" s="20">
        <f t="shared" ref="V321:V330" si="195">V320+U321</f>
        <v>-1459</v>
      </c>
      <c r="W321" s="143"/>
    </row>
    <row r="322" spans="1:23" ht="15.75" customHeight="1">
      <c r="A322" s="114"/>
      <c r="B322" s="106"/>
      <c r="C322" s="107"/>
      <c r="D322" s="20">
        <f t="shared" si="189"/>
        <v>-1459</v>
      </c>
      <c r="E322" s="118"/>
      <c r="F322" s="117"/>
      <c r="G322" s="19">
        <f t="shared" si="190"/>
        <v>-1459</v>
      </c>
      <c r="H322" s="116"/>
      <c r="I322" s="107"/>
      <c r="J322" s="26">
        <f t="shared" si="191"/>
        <v>-1459</v>
      </c>
      <c r="K322" s="117"/>
      <c r="L322" s="117"/>
      <c r="M322" s="38">
        <f t="shared" si="192"/>
        <v>-1459</v>
      </c>
      <c r="N322" s="106"/>
      <c r="O322" s="107"/>
      <c r="P322" s="26">
        <f t="shared" si="193"/>
        <v>-1459</v>
      </c>
      <c r="Q322" s="117"/>
      <c r="R322" s="117"/>
      <c r="S322" s="19">
        <f t="shared" si="194"/>
        <v>-1459</v>
      </c>
      <c r="T322" s="116"/>
      <c r="U322" s="107"/>
      <c r="V322" s="20">
        <f t="shared" si="195"/>
        <v>-1459</v>
      </c>
      <c r="W322" s="143"/>
    </row>
    <row r="323" spans="1:23" ht="15.75" customHeight="1">
      <c r="A323" s="114"/>
      <c r="B323" s="106"/>
      <c r="C323" s="107"/>
      <c r="D323" s="20">
        <f t="shared" si="189"/>
        <v>-1459</v>
      </c>
      <c r="E323" s="118"/>
      <c r="F323" s="117"/>
      <c r="G323" s="19">
        <f t="shared" si="190"/>
        <v>-1459</v>
      </c>
      <c r="H323" s="116"/>
      <c r="I323" s="107"/>
      <c r="J323" s="26">
        <f t="shared" si="191"/>
        <v>-1459</v>
      </c>
      <c r="K323" s="117"/>
      <c r="L323" s="117"/>
      <c r="M323" s="38">
        <f t="shared" si="192"/>
        <v>-1459</v>
      </c>
      <c r="N323" s="106"/>
      <c r="O323" s="107"/>
      <c r="P323" s="26">
        <f t="shared" si="193"/>
        <v>-1459</v>
      </c>
      <c r="Q323" s="117"/>
      <c r="R323" s="117"/>
      <c r="S323" s="19">
        <f t="shared" si="194"/>
        <v>-1459</v>
      </c>
      <c r="T323" s="116"/>
      <c r="U323" s="107"/>
      <c r="V323" s="20">
        <f t="shared" si="195"/>
        <v>-1459</v>
      </c>
      <c r="W323" s="143"/>
    </row>
    <row r="324" spans="1:23" ht="15.75" customHeight="1">
      <c r="A324" s="114"/>
      <c r="B324" s="106"/>
      <c r="C324" s="107"/>
      <c r="D324" s="20">
        <f t="shared" si="189"/>
        <v>-1459</v>
      </c>
      <c r="E324" s="118"/>
      <c r="F324" s="117"/>
      <c r="G324" s="19">
        <f t="shared" si="190"/>
        <v>-1459</v>
      </c>
      <c r="H324" s="116"/>
      <c r="I324" s="107"/>
      <c r="J324" s="26">
        <f t="shared" si="191"/>
        <v>-1459</v>
      </c>
      <c r="K324" s="117"/>
      <c r="L324" s="117"/>
      <c r="M324" s="38">
        <f t="shared" si="192"/>
        <v>-1459</v>
      </c>
      <c r="N324" s="106"/>
      <c r="O324" s="107"/>
      <c r="P324" s="26">
        <f t="shared" si="193"/>
        <v>-1459</v>
      </c>
      <c r="Q324" s="117"/>
      <c r="R324" s="117"/>
      <c r="S324" s="19">
        <f t="shared" si="194"/>
        <v>-1459</v>
      </c>
      <c r="T324" s="116"/>
      <c r="U324" s="107"/>
      <c r="V324" s="20">
        <f t="shared" si="195"/>
        <v>-1459</v>
      </c>
      <c r="W324" s="143"/>
    </row>
    <row r="325" spans="1:23" ht="15.75" customHeight="1">
      <c r="A325" s="114"/>
      <c r="B325" s="106"/>
      <c r="C325" s="107"/>
      <c r="D325" s="20">
        <f t="shared" si="189"/>
        <v>-1459</v>
      </c>
      <c r="E325" s="118"/>
      <c r="F325" s="117"/>
      <c r="G325" s="19">
        <f t="shared" si="190"/>
        <v>-1459</v>
      </c>
      <c r="H325" s="116"/>
      <c r="I325" s="107"/>
      <c r="J325" s="26">
        <f t="shared" si="191"/>
        <v>-1459</v>
      </c>
      <c r="K325" s="117"/>
      <c r="L325" s="117"/>
      <c r="M325" s="38">
        <f t="shared" si="192"/>
        <v>-1459</v>
      </c>
      <c r="N325" s="106"/>
      <c r="O325" s="107"/>
      <c r="P325" s="26">
        <f t="shared" si="193"/>
        <v>-1459</v>
      </c>
      <c r="Q325" s="117"/>
      <c r="R325" s="117"/>
      <c r="S325" s="19">
        <f t="shared" si="194"/>
        <v>-1459</v>
      </c>
      <c r="T325" s="116"/>
      <c r="U325" s="107"/>
      <c r="V325" s="20">
        <f t="shared" si="195"/>
        <v>-1459</v>
      </c>
      <c r="W325" s="143"/>
    </row>
    <row r="326" spans="1:23" ht="15.75" customHeight="1">
      <c r="A326" s="114"/>
      <c r="B326" s="106"/>
      <c r="C326" s="107"/>
      <c r="D326" s="20">
        <f t="shared" si="189"/>
        <v>-1459</v>
      </c>
      <c r="E326" s="118"/>
      <c r="F326" s="117"/>
      <c r="G326" s="19">
        <f t="shared" si="190"/>
        <v>-1459</v>
      </c>
      <c r="H326" s="116"/>
      <c r="I326" s="107"/>
      <c r="J326" s="26">
        <f t="shared" si="191"/>
        <v>-1459</v>
      </c>
      <c r="K326" s="117"/>
      <c r="L326" s="117"/>
      <c r="M326" s="38">
        <f t="shared" si="192"/>
        <v>-1459</v>
      </c>
      <c r="N326" s="106"/>
      <c r="O326" s="107"/>
      <c r="P326" s="26">
        <f t="shared" si="193"/>
        <v>-1459</v>
      </c>
      <c r="Q326" s="117"/>
      <c r="R326" s="117"/>
      <c r="S326" s="19">
        <f t="shared" si="194"/>
        <v>-1459</v>
      </c>
      <c r="T326" s="116"/>
      <c r="U326" s="107"/>
      <c r="V326" s="20">
        <f t="shared" si="195"/>
        <v>-1459</v>
      </c>
      <c r="W326" s="143"/>
    </row>
    <row r="327" spans="1:23" ht="15.75" customHeight="1">
      <c r="A327" s="114"/>
      <c r="B327" s="106"/>
      <c r="C327" s="107"/>
      <c r="D327" s="20">
        <f t="shared" si="189"/>
        <v>-1459</v>
      </c>
      <c r="E327" s="118"/>
      <c r="F327" s="117"/>
      <c r="G327" s="19">
        <f t="shared" si="190"/>
        <v>-1459</v>
      </c>
      <c r="H327" s="116"/>
      <c r="I327" s="107"/>
      <c r="J327" s="26">
        <f t="shared" si="191"/>
        <v>-1459</v>
      </c>
      <c r="K327" s="117"/>
      <c r="L327" s="117"/>
      <c r="M327" s="38">
        <f t="shared" si="192"/>
        <v>-1459</v>
      </c>
      <c r="N327" s="106"/>
      <c r="O327" s="107"/>
      <c r="P327" s="26">
        <f t="shared" si="193"/>
        <v>-1459</v>
      </c>
      <c r="Q327" s="117"/>
      <c r="R327" s="117"/>
      <c r="S327" s="19">
        <f t="shared" si="194"/>
        <v>-1459</v>
      </c>
      <c r="T327" s="116"/>
      <c r="U327" s="107"/>
      <c r="V327" s="20">
        <f t="shared" si="195"/>
        <v>-1459</v>
      </c>
      <c r="W327" s="143"/>
    </row>
    <row r="328" spans="1:23" ht="15.75" customHeight="1">
      <c r="A328" s="114"/>
      <c r="B328" s="122"/>
      <c r="C328" s="123"/>
      <c r="D328" s="20">
        <f t="shared" si="189"/>
        <v>-1459</v>
      </c>
      <c r="E328" s="118"/>
      <c r="F328" s="117"/>
      <c r="G328" s="19">
        <f t="shared" si="190"/>
        <v>-1459</v>
      </c>
      <c r="H328" s="124"/>
      <c r="I328" s="123"/>
      <c r="J328" s="26">
        <f t="shared" si="191"/>
        <v>-1459</v>
      </c>
      <c r="K328" s="117"/>
      <c r="L328" s="117"/>
      <c r="M328" s="38">
        <f t="shared" si="192"/>
        <v>-1459</v>
      </c>
      <c r="N328" s="122"/>
      <c r="O328" s="123"/>
      <c r="P328" s="26">
        <f t="shared" si="193"/>
        <v>-1459</v>
      </c>
      <c r="Q328" s="117"/>
      <c r="R328" s="117"/>
      <c r="S328" s="19">
        <f t="shared" si="194"/>
        <v>-1459</v>
      </c>
      <c r="T328" s="116"/>
      <c r="U328" s="107"/>
      <c r="V328" s="20">
        <f t="shared" si="195"/>
        <v>-1459</v>
      </c>
      <c r="W328" s="143"/>
    </row>
    <row r="329" spans="1:23" ht="15.75" customHeight="1">
      <c r="A329" s="114"/>
      <c r="B329" s="122"/>
      <c r="C329" s="123"/>
      <c r="D329" s="20">
        <f t="shared" si="189"/>
        <v>-1459</v>
      </c>
      <c r="E329" s="118"/>
      <c r="F329" s="117"/>
      <c r="G329" s="19">
        <f t="shared" si="190"/>
        <v>-1459</v>
      </c>
      <c r="H329" s="124"/>
      <c r="I329" s="123"/>
      <c r="J329" s="26">
        <f t="shared" si="191"/>
        <v>-1459</v>
      </c>
      <c r="K329" s="117"/>
      <c r="L329" s="117"/>
      <c r="M329" s="38">
        <f t="shared" si="192"/>
        <v>-1459</v>
      </c>
      <c r="N329" s="122"/>
      <c r="O329" s="123"/>
      <c r="P329" s="26">
        <f t="shared" si="193"/>
        <v>-1459</v>
      </c>
      <c r="Q329" s="117"/>
      <c r="R329" s="117"/>
      <c r="S329" s="19">
        <f t="shared" si="194"/>
        <v>-1459</v>
      </c>
      <c r="T329" s="124"/>
      <c r="U329" s="124"/>
      <c r="V329" s="20">
        <f t="shared" si="195"/>
        <v>-1459</v>
      </c>
      <c r="W329" s="143"/>
    </row>
    <row r="330" spans="1:23" ht="15.75" customHeight="1">
      <c r="A330" s="114"/>
      <c r="B330" s="122"/>
      <c r="C330" s="123"/>
      <c r="D330" s="49">
        <f t="shared" si="189"/>
        <v>-1459</v>
      </c>
      <c r="E330" s="154"/>
      <c r="F330" s="128"/>
      <c r="G330" s="29">
        <f t="shared" si="190"/>
        <v>-1459</v>
      </c>
      <c r="H330" s="124"/>
      <c r="I330" s="123"/>
      <c r="J330" s="39">
        <f t="shared" si="191"/>
        <v>-1459</v>
      </c>
      <c r="K330" s="128"/>
      <c r="L330" s="128"/>
      <c r="M330" s="40">
        <f t="shared" si="192"/>
        <v>-1459</v>
      </c>
      <c r="N330" s="122"/>
      <c r="O330" s="123"/>
      <c r="P330" s="39">
        <f t="shared" si="193"/>
        <v>-1459</v>
      </c>
      <c r="Q330" s="128"/>
      <c r="R330" s="128"/>
      <c r="S330" s="29">
        <f t="shared" si="194"/>
        <v>-1459</v>
      </c>
      <c r="T330" s="124"/>
      <c r="U330" s="123"/>
      <c r="V330" s="49">
        <f t="shared" si="195"/>
        <v>-1459</v>
      </c>
      <c r="W330" s="143"/>
    </row>
    <row r="331" spans="1:23" ht="15.75" customHeight="1">
      <c r="A331" s="87"/>
      <c r="B331" s="77">
        <f ca="1">IFERROR(__xludf.DUMMYFUNCTION("DATE(VALUE(LEFT($B$2,4)),VALUE(MID($B$2,6,2)),VALUE(RIGHT($B$2,2)))
+ (VALUE(REGEXEXTRACT(INDIRECT(""A""&amp;ROW()+1),""\d+""))-1)*7
+ INT((COLUMN()-COLUMN($B331))/3)
"),47314)</f>
        <v>47314</v>
      </c>
      <c r="C331" s="81"/>
      <c r="D331" s="82"/>
      <c r="E331" s="77">
        <f ca="1">IFERROR(__xludf.DUMMYFUNCTION("DATE(VALUE(LEFT($B$2,4)),VALUE(MID($B$2,6,2)),VALUE(RIGHT($B$2,2)))
+ (VALUE(REGEXEXTRACT(INDIRECT(""A""&amp;ROW()+1),""\d+""))-1)*7
+ INT((COLUMN()-COLUMN($B331))/3)
"),47315)</f>
        <v>47315</v>
      </c>
      <c r="F331" s="81"/>
      <c r="G331" s="82"/>
      <c r="H331" s="77">
        <f ca="1">IFERROR(__xludf.DUMMYFUNCTION("DATE(VALUE(LEFT($B$2,4)),VALUE(MID($B$2,6,2)),VALUE(RIGHT($B$2,2)))
+ (VALUE(REGEXEXTRACT(INDIRECT(""A""&amp;ROW()+1),""\d+""))-1)*7
+ INT((COLUMN()-COLUMN($B331))/3)
"),47316)</f>
        <v>47316</v>
      </c>
      <c r="I331" s="81"/>
      <c r="J331" s="82"/>
      <c r="K331" s="77">
        <f ca="1">IFERROR(__xludf.DUMMYFUNCTION("DATE(VALUE(LEFT($B$2,4)),VALUE(MID($B$2,6,2)),VALUE(RIGHT($B$2,2)))
+ (VALUE(REGEXEXTRACT(INDIRECT(""A""&amp;ROW()+1),""\d+""))-1)*7
+ INT((COLUMN()-COLUMN($B331))/3)
"),47317)</f>
        <v>47317</v>
      </c>
      <c r="L331" s="81"/>
      <c r="M331" s="82"/>
      <c r="N331" s="77">
        <f ca="1">IFERROR(__xludf.DUMMYFUNCTION("DATE(VALUE(LEFT($B$2,4)),VALUE(MID($B$2,6,2)),VALUE(RIGHT($B$2,2)))
+ (VALUE(REGEXEXTRACT(INDIRECT(""A""&amp;ROW()+1),""\d+""))-1)*7
+ INT((COLUMN()-COLUMN($B331))/3)
"),47318)</f>
        <v>47318</v>
      </c>
      <c r="O331" s="81"/>
      <c r="P331" s="82"/>
      <c r="Q331" s="77">
        <f ca="1">IFERROR(__xludf.DUMMYFUNCTION("DATE(VALUE(LEFT($B$2,4)),VALUE(MID($B$2,6,2)),VALUE(RIGHT($B$2,2)))
+ (VALUE(REGEXEXTRACT(INDIRECT(""A""&amp;ROW()+1),""\d+""))-1)*7
+ INT((COLUMN()-COLUMN($B331))/3)
"),47319)</f>
        <v>47319</v>
      </c>
      <c r="R331" s="81"/>
      <c r="S331" s="82"/>
      <c r="T331" s="77">
        <f ca="1">IFERROR(__xludf.DUMMYFUNCTION("DATE(VALUE(LEFT($B$2,4)),VALUE(MID($B$2,6,2)),VALUE(RIGHT($B$2,2)))
+ (VALUE(REGEXEXTRACT(INDIRECT(""A""&amp;ROW()+1),""\d+""))-1)*7
+ INT((COLUMN()-COLUMN($B331))/3)
"),47320)</f>
        <v>47320</v>
      </c>
      <c r="U331" s="81"/>
      <c r="V331" s="82"/>
      <c r="W331" s="52" t="s">
        <v>20</v>
      </c>
    </row>
    <row r="332" spans="1:23" ht="15.75" customHeight="1">
      <c r="A332" s="47" t="s">
        <v>157</v>
      </c>
      <c r="B332" s="113"/>
      <c r="C332" s="109"/>
      <c r="D332" s="50">
        <f>V330+C332</f>
        <v>-1459</v>
      </c>
      <c r="E332" s="112"/>
      <c r="F332" s="111"/>
      <c r="G332" s="17">
        <f>D342+F332</f>
        <v>-1459</v>
      </c>
      <c r="H332" s="132"/>
      <c r="I332" s="109"/>
      <c r="J332" s="42">
        <f>G342+I332</f>
        <v>-1459</v>
      </c>
      <c r="K332" s="112"/>
      <c r="L332" s="111"/>
      <c r="M332" s="18">
        <f>J342+L332</f>
        <v>-1459</v>
      </c>
      <c r="N332" s="109"/>
      <c r="O332" s="109"/>
      <c r="P332" s="35">
        <f>M342+O332</f>
        <v>-1459</v>
      </c>
      <c r="Q332" s="112"/>
      <c r="R332" s="111"/>
      <c r="S332" s="17">
        <f>P342+R332</f>
        <v>-1459</v>
      </c>
      <c r="T332" s="176"/>
      <c r="U332" s="173"/>
      <c r="V332" s="50">
        <f>S342+U332</f>
        <v>-1459</v>
      </c>
      <c r="W332" s="172"/>
    </row>
    <row r="333" spans="1:23" ht="15.75" customHeight="1">
      <c r="A333" s="114"/>
      <c r="B333" s="118"/>
      <c r="C333" s="117"/>
      <c r="D333" s="45">
        <f t="shared" ref="D333:D342" si="196">D332+C333</f>
        <v>-1459</v>
      </c>
      <c r="E333" s="106"/>
      <c r="F333" s="107"/>
      <c r="G333" s="26">
        <f t="shared" ref="G333:G342" si="197">G332+F333</f>
        <v>-1459</v>
      </c>
      <c r="H333" s="133"/>
      <c r="I333" s="117"/>
      <c r="J333" s="19">
        <f t="shared" ref="J333:J342" si="198">J332+I333</f>
        <v>-1459</v>
      </c>
      <c r="K333" s="106"/>
      <c r="L333" s="107"/>
      <c r="M333" s="26">
        <f t="shared" ref="M333:M342" si="199">M332+L333</f>
        <v>-1459</v>
      </c>
      <c r="N333" s="117"/>
      <c r="O333" s="117"/>
      <c r="P333" s="38">
        <f t="shared" ref="P333:P342" si="200">P332+O333</f>
        <v>-1459</v>
      </c>
      <c r="Q333" s="106"/>
      <c r="R333" s="107"/>
      <c r="S333" s="26">
        <f t="shared" ref="S333:S342" si="201">S332+R333</f>
        <v>-1459</v>
      </c>
      <c r="T333" s="177"/>
      <c r="U333" s="136"/>
      <c r="V333" s="45">
        <f t="shared" ref="V333:V342" si="202">V332+U333</f>
        <v>-1459</v>
      </c>
      <c r="W333" s="143"/>
    </row>
    <row r="334" spans="1:23" ht="15.75" customHeight="1">
      <c r="A334" s="114"/>
      <c r="B334" s="118"/>
      <c r="C334" s="117"/>
      <c r="D334" s="45">
        <f t="shared" si="196"/>
        <v>-1459</v>
      </c>
      <c r="E334" s="106"/>
      <c r="F334" s="107"/>
      <c r="G334" s="26">
        <f t="shared" si="197"/>
        <v>-1459</v>
      </c>
      <c r="H334" s="133"/>
      <c r="I334" s="117"/>
      <c r="J334" s="19">
        <f t="shared" si="198"/>
        <v>-1459</v>
      </c>
      <c r="K334" s="106"/>
      <c r="L334" s="107"/>
      <c r="M334" s="26">
        <f t="shared" si="199"/>
        <v>-1459</v>
      </c>
      <c r="N334" s="117"/>
      <c r="O334" s="117"/>
      <c r="P334" s="38">
        <f t="shared" si="200"/>
        <v>-1459</v>
      </c>
      <c r="Q334" s="106"/>
      <c r="R334" s="107"/>
      <c r="S334" s="26">
        <f t="shared" si="201"/>
        <v>-1459</v>
      </c>
      <c r="T334" s="177"/>
      <c r="U334" s="136"/>
      <c r="V334" s="45">
        <f t="shared" si="202"/>
        <v>-1459</v>
      </c>
      <c r="W334" s="143"/>
    </row>
    <row r="335" spans="1:23" ht="15.75" customHeight="1">
      <c r="A335" s="114"/>
      <c r="B335" s="118"/>
      <c r="C335" s="117"/>
      <c r="D335" s="45">
        <f t="shared" si="196"/>
        <v>-1459</v>
      </c>
      <c r="E335" s="106"/>
      <c r="F335" s="107"/>
      <c r="G335" s="26">
        <f t="shared" si="197"/>
        <v>-1459</v>
      </c>
      <c r="H335" s="133"/>
      <c r="I335" s="117"/>
      <c r="J335" s="19">
        <f t="shared" si="198"/>
        <v>-1459</v>
      </c>
      <c r="K335" s="106"/>
      <c r="L335" s="107"/>
      <c r="M335" s="26">
        <f t="shared" si="199"/>
        <v>-1459</v>
      </c>
      <c r="N335" s="117"/>
      <c r="O335" s="117"/>
      <c r="P335" s="38">
        <f t="shared" si="200"/>
        <v>-1459</v>
      </c>
      <c r="Q335" s="106"/>
      <c r="R335" s="107"/>
      <c r="S335" s="26">
        <f t="shared" si="201"/>
        <v>-1459</v>
      </c>
      <c r="T335" s="177"/>
      <c r="U335" s="136"/>
      <c r="V335" s="45">
        <f t="shared" si="202"/>
        <v>-1459</v>
      </c>
      <c r="W335" s="143"/>
    </row>
    <row r="336" spans="1:23" ht="15.75" customHeight="1">
      <c r="A336" s="114"/>
      <c r="B336" s="118"/>
      <c r="C336" s="117"/>
      <c r="D336" s="45">
        <f t="shared" si="196"/>
        <v>-1459</v>
      </c>
      <c r="E336" s="106"/>
      <c r="F336" s="107"/>
      <c r="G336" s="26">
        <f t="shared" si="197"/>
        <v>-1459</v>
      </c>
      <c r="H336" s="133"/>
      <c r="I336" s="117"/>
      <c r="J336" s="19">
        <f t="shared" si="198"/>
        <v>-1459</v>
      </c>
      <c r="K336" s="106"/>
      <c r="L336" s="107"/>
      <c r="M336" s="26">
        <f t="shared" si="199"/>
        <v>-1459</v>
      </c>
      <c r="N336" s="117"/>
      <c r="O336" s="117"/>
      <c r="P336" s="38">
        <f t="shared" si="200"/>
        <v>-1459</v>
      </c>
      <c r="Q336" s="106"/>
      <c r="R336" s="107"/>
      <c r="S336" s="26">
        <f t="shared" si="201"/>
        <v>-1459</v>
      </c>
      <c r="T336" s="177"/>
      <c r="U336" s="136"/>
      <c r="V336" s="45">
        <f t="shared" si="202"/>
        <v>-1459</v>
      </c>
      <c r="W336" s="143"/>
    </row>
    <row r="337" spans="1:23" ht="15.75" customHeight="1">
      <c r="A337" s="114"/>
      <c r="B337" s="118"/>
      <c r="C337" s="117"/>
      <c r="D337" s="45">
        <f t="shared" si="196"/>
        <v>-1459</v>
      </c>
      <c r="E337" s="106"/>
      <c r="F337" s="107"/>
      <c r="G337" s="26">
        <f t="shared" si="197"/>
        <v>-1459</v>
      </c>
      <c r="H337" s="133"/>
      <c r="I337" s="117"/>
      <c r="J337" s="19">
        <f t="shared" si="198"/>
        <v>-1459</v>
      </c>
      <c r="K337" s="106"/>
      <c r="L337" s="107"/>
      <c r="M337" s="26">
        <f t="shared" si="199"/>
        <v>-1459</v>
      </c>
      <c r="N337" s="117"/>
      <c r="O337" s="117"/>
      <c r="P337" s="38">
        <f t="shared" si="200"/>
        <v>-1459</v>
      </c>
      <c r="Q337" s="106"/>
      <c r="R337" s="107"/>
      <c r="S337" s="26">
        <f t="shared" si="201"/>
        <v>-1459</v>
      </c>
      <c r="T337" s="177"/>
      <c r="U337" s="136"/>
      <c r="V337" s="45">
        <f t="shared" si="202"/>
        <v>-1459</v>
      </c>
      <c r="W337" s="143"/>
    </row>
    <row r="338" spans="1:23" ht="15.75" customHeight="1">
      <c r="A338" s="114"/>
      <c r="B338" s="117"/>
      <c r="C338" s="117"/>
      <c r="D338" s="45">
        <f t="shared" si="196"/>
        <v>-1459</v>
      </c>
      <c r="E338" s="106"/>
      <c r="F338" s="107"/>
      <c r="G338" s="26">
        <f t="shared" si="197"/>
        <v>-1459</v>
      </c>
      <c r="H338" s="133"/>
      <c r="I338" s="117"/>
      <c r="J338" s="19">
        <f t="shared" si="198"/>
        <v>-1459</v>
      </c>
      <c r="K338" s="106"/>
      <c r="L338" s="107"/>
      <c r="M338" s="26">
        <f t="shared" si="199"/>
        <v>-1459</v>
      </c>
      <c r="N338" s="117"/>
      <c r="O338" s="117"/>
      <c r="P338" s="38">
        <f t="shared" si="200"/>
        <v>-1459</v>
      </c>
      <c r="Q338" s="106"/>
      <c r="R338" s="107"/>
      <c r="S338" s="26">
        <f t="shared" si="201"/>
        <v>-1459</v>
      </c>
      <c r="T338" s="177"/>
      <c r="U338" s="136"/>
      <c r="V338" s="45">
        <f t="shared" si="202"/>
        <v>-1459</v>
      </c>
      <c r="W338" s="143"/>
    </row>
    <row r="339" spans="1:23" ht="15.75" customHeight="1">
      <c r="A339" s="114"/>
      <c r="B339" s="117"/>
      <c r="C339" s="117"/>
      <c r="D339" s="45">
        <f t="shared" si="196"/>
        <v>-1459</v>
      </c>
      <c r="E339" s="106"/>
      <c r="F339" s="107"/>
      <c r="G339" s="26">
        <f t="shared" si="197"/>
        <v>-1459</v>
      </c>
      <c r="H339" s="133"/>
      <c r="I339" s="117"/>
      <c r="J339" s="19">
        <f t="shared" si="198"/>
        <v>-1459</v>
      </c>
      <c r="K339" s="106"/>
      <c r="L339" s="107"/>
      <c r="M339" s="26">
        <f t="shared" si="199"/>
        <v>-1459</v>
      </c>
      <c r="N339" s="117"/>
      <c r="O339" s="117"/>
      <c r="P339" s="38">
        <f t="shared" si="200"/>
        <v>-1459</v>
      </c>
      <c r="Q339" s="106"/>
      <c r="R339" s="107"/>
      <c r="S339" s="26">
        <f t="shared" si="201"/>
        <v>-1459</v>
      </c>
      <c r="T339" s="177"/>
      <c r="U339" s="136"/>
      <c r="V339" s="45">
        <f t="shared" si="202"/>
        <v>-1459</v>
      </c>
      <c r="W339" s="143"/>
    </row>
    <row r="340" spans="1:23" ht="15.75" customHeight="1">
      <c r="A340" s="114"/>
      <c r="B340" s="117"/>
      <c r="C340" s="117"/>
      <c r="D340" s="45">
        <f t="shared" si="196"/>
        <v>-1459</v>
      </c>
      <c r="E340" s="106"/>
      <c r="F340" s="107"/>
      <c r="G340" s="26">
        <f t="shared" si="197"/>
        <v>-1459</v>
      </c>
      <c r="H340" s="133"/>
      <c r="I340" s="117"/>
      <c r="J340" s="19">
        <f t="shared" si="198"/>
        <v>-1459</v>
      </c>
      <c r="K340" s="106"/>
      <c r="L340" s="107"/>
      <c r="M340" s="26">
        <f t="shared" si="199"/>
        <v>-1459</v>
      </c>
      <c r="N340" s="117"/>
      <c r="O340" s="117"/>
      <c r="P340" s="38">
        <f t="shared" si="200"/>
        <v>-1459</v>
      </c>
      <c r="Q340" s="106"/>
      <c r="R340" s="107"/>
      <c r="S340" s="26">
        <f t="shared" si="201"/>
        <v>-1459</v>
      </c>
      <c r="T340" s="177"/>
      <c r="U340" s="136"/>
      <c r="V340" s="45">
        <f t="shared" si="202"/>
        <v>-1459</v>
      </c>
      <c r="W340" s="143"/>
    </row>
    <row r="341" spans="1:23" ht="15.75" customHeight="1">
      <c r="A341" s="114"/>
      <c r="B341" s="117"/>
      <c r="C341" s="117"/>
      <c r="D341" s="45">
        <f t="shared" si="196"/>
        <v>-1459</v>
      </c>
      <c r="E341" s="122"/>
      <c r="F341" s="123"/>
      <c r="G341" s="26">
        <f t="shared" si="197"/>
        <v>-1459</v>
      </c>
      <c r="H341" s="133"/>
      <c r="I341" s="117"/>
      <c r="J341" s="19">
        <f t="shared" si="198"/>
        <v>-1459</v>
      </c>
      <c r="K341" s="122"/>
      <c r="L341" s="123"/>
      <c r="M341" s="26">
        <f t="shared" si="199"/>
        <v>-1459</v>
      </c>
      <c r="N341" s="117"/>
      <c r="O341" s="117"/>
      <c r="P341" s="38">
        <f t="shared" si="200"/>
        <v>-1459</v>
      </c>
      <c r="Q341" s="122"/>
      <c r="R341" s="123"/>
      <c r="S341" s="26">
        <f t="shared" si="201"/>
        <v>-1459</v>
      </c>
      <c r="T341" s="177"/>
      <c r="U341" s="136"/>
      <c r="V341" s="45">
        <f t="shared" si="202"/>
        <v>-1459</v>
      </c>
      <c r="W341" s="143"/>
    </row>
    <row r="342" spans="1:23" ht="15.75" customHeight="1">
      <c r="A342" s="114"/>
      <c r="B342" s="128"/>
      <c r="C342" s="128"/>
      <c r="D342" s="46">
        <f t="shared" si="196"/>
        <v>-1459</v>
      </c>
      <c r="E342" s="122"/>
      <c r="F342" s="123"/>
      <c r="G342" s="39">
        <f t="shared" si="197"/>
        <v>-1459</v>
      </c>
      <c r="H342" s="140"/>
      <c r="I342" s="128"/>
      <c r="J342" s="29">
        <f t="shared" si="198"/>
        <v>-1459</v>
      </c>
      <c r="K342" s="122"/>
      <c r="L342" s="123"/>
      <c r="M342" s="39">
        <f t="shared" si="199"/>
        <v>-1459</v>
      </c>
      <c r="N342" s="128"/>
      <c r="O342" s="128"/>
      <c r="P342" s="40">
        <f t="shared" si="200"/>
        <v>-1459</v>
      </c>
      <c r="Q342" s="122"/>
      <c r="R342" s="123"/>
      <c r="S342" s="39">
        <f t="shared" si="201"/>
        <v>-1459</v>
      </c>
      <c r="T342" s="178"/>
      <c r="U342" s="141"/>
      <c r="V342" s="46">
        <f t="shared" si="202"/>
        <v>-1459</v>
      </c>
      <c r="W342" s="143"/>
    </row>
    <row r="343" spans="1:23" ht="15.75" customHeight="1">
      <c r="A343" s="87"/>
      <c r="B343" s="77">
        <f ca="1">IFERROR(__xludf.DUMMYFUNCTION("DATE(VALUE(LEFT($B$2,4)),VALUE(MID($B$2,6,2)),VALUE(RIGHT($B$2,2)))
+ (VALUE(REGEXEXTRACT(INDIRECT(""A""&amp;ROW()+1),""\d+""))-1)*7
+ INT((COLUMN()-COLUMN($B343))/3)
"),47321)</f>
        <v>47321</v>
      </c>
      <c r="C343" s="81"/>
      <c r="D343" s="82"/>
      <c r="E343" s="77">
        <f ca="1">IFERROR(__xludf.DUMMYFUNCTION("DATE(VALUE(LEFT($B$2,4)),VALUE(MID($B$2,6,2)),VALUE(RIGHT($B$2,2)))
+ (VALUE(REGEXEXTRACT(INDIRECT(""A""&amp;ROW()+1),""\d+""))-1)*7
+ INT((COLUMN()-COLUMN($B343))/3)
"),47322)</f>
        <v>47322</v>
      </c>
      <c r="F343" s="81"/>
      <c r="G343" s="82"/>
      <c r="H343" s="77">
        <f ca="1">IFERROR(__xludf.DUMMYFUNCTION("DATE(VALUE(LEFT($B$2,4)),VALUE(MID($B$2,6,2)),VALUE(RIGHT($B$2,2)))
+ (VALUE(REGEXEXTRACT(INDIRECT(""A""&amp;ROW()+1),""\d+""))-1)*7
+ INT((COLUMN()-COLUMN($B343))/3)
"),47323)</f>
        <v>47323</v>
      </c>
      <c r="I343" s="81"/>
      <c r="J343" s="82"/>
      <c r="K343" s="77">
        <f ca="1">IFERROR(__xludf.DUMMYFUNCTION("DATE(VALUE(LEFT($B$2,4)),VALUE(MID($B$2,6,2)),VALUE(RIGHT($B$2,2)))
+ (VALUE(REGEXEXTRACT(INDIRECT(""A""&amp;ROW()+1),""\d+""))-1)*7
+ INT((COLUMN()-COLUMN($B343))/3)
"),47324)</f>
        <v>47324</v>
      </c>
      <c r="L343" s="81"/>
      <c r="M343" s="82"/>
      <c r="N343" s="77">
        <f ca="1">IFERROR(__xludf.DUMMYFUNCTION("DATE(VALUE(LEFT($B$2,4)),VALUE(MID($B$2,6,2)),VALUE(RIGHT($B$2,2)))
+ (VALUE(REGEXEXTRACT(INDIRECT(""A""&amp;ROW()+1),""\d+""))-1)*7
+ INT((COLUMN()-COLUMN($B343))/3)
"),47325)</f>
        <v>47325</v>
      </c>
      <c r="O343" s="81"/>
      <c r="P343" s="82"/>
      <c r="Q343" s="77">
        <f ca="1">IFERROR(__xludf.DUMMYFUNCTION("DATE(VALUE(LEFT($B$2,4)),VALUE(MID($B$2,6,2)),VALUE(RIGHT($B$2,2)))
+ (VALUE(REGEXEXTRACT(INDIRECT(""A""&amp;ROW()+1),""\d+""))-1)*7
+ INT((COLUMN()-COLUMN($B343))/3)
"),47326)</f>
        <v>47326</v>
      </c>
      <c r="R343" s="81"/>
      <c r="S343" s="82"/>
      <c r="T343" s="77">
        <f ca="1">IFERROR(__xludf.DUMMYFUNCTION("DATE(VALUE(LEFT($B$2,4)),VALUE(MID($B$2,6,2)),VALUE(RIGHT($B$2,2)))
+ (VALUE(REGEXEXTRACT(INDIRECT(""A""&amp;ROW()+1),""\d+""))-1)*7
+ INT((COLUMN()-COLUMN($B343))/3)
"),47327)</f>
        <v>47327</v>
      </c>
      <c r="U343" s="81"/>
      <c r="V343" s="82"/>
      <c r="W343" s="143"/>
    </row>
    <row r="344" spans="1:23" ht="15.75" customHeight="1">
      <c r="A344" s="51" t="s">
        <v>158</v>
      </c>
      <c r="B344" s="112"/>
      <c r="C344" s="111"/>
      <c r="D344" s="48">
        <f>V342+C344</f>
        <v>-1459</v>
      </c>
      <c r="E344" s="113"/>
      <c r="F344" s="109"/>
      <c r="G344" s="42">
        <f>D354+F344</f>
        <v>-1459</v>
      </c>
      <c r="H344" s="110"/>
      <c r="I344" s="111"/>
      <c r="J344" s="17">
        <f>G354+I344</f>
        <v>-1459</v>
      </c>
      <c r="K344" s="109"/>
      <c r="L344" s="109"/>
      <c r="M344" s="35">
        <f>J354+L344</f>
        <v>-1459</v>
      </c>
      <c r="N344" s="112"/>
      <c r="O344" s="111"/>
      <c r="P344" s="17">
        <f>M354+O344</f>
        <v>-1459</v>
      </c>
      <c r="Q344" s="109"/>
      <c r="R344" s="109"/>
      <c r="S344" s="42">
        <f>P354+R344</f>
        <v>-1459</v>
      </c>
      <c r="T344" s="110"/>
      <c r="U344" s="111"/>
      <c r="V344" s="48">
        <f>S354+U344</f>
        <v>-1459</v>
      </c>
      <c r="W344" s="143"/>
    </row>
    <row r="345" spans="1:23" ht="15.75" customHeight="1">
      <c r="A345" s="114"/>
      <c r="B345" s="106"/>
      <c r="C345" s="107"/>
      <c r="D345" s="20">
        <f t="shared" ref="D345:D354" si="203">D344+C345</f>
        <v>-1459</v>
      </c>
      <c r="E345" s="118"/>
      <c r="F345" s="117"/>
      <c r="G345" s="19">
        <f t="shared" ref="G345:G354" si="204">G344+F345</f>
        <v>-1459</v>
      </c>
      <c r="H345" s="116"/>
      <c r="I345" s="107"/>
      <c r="J345" s="26">
        <f t="shared" ref="J345:J354" si="205">J344+I345</f>
        <v>-1459</v>
      </c>
      <c r="K345" s="117"/>
      <c r="L345" s="117"/>
      <c r="M345" s="38">
        <f t="shared" ref="M345:M354" si="206">M344+L345</f>
        <v>-1459</v>
      </c>
      <c r="N345" s="106"/>
      <c r="O345" s="107"/>
      <c r="P345" s="26">
        <f t="shared" ref="P345:P354" si="207">P344+O345</f>
        <v>-1459</v>
      </c>
      <c r="Q345" s="117"/>
      <c r="R345" s="117"/>
      <c r="S345" s="19">
        <f t="shared" ref="S345:S354" si="208">S344+R345</f>
        <v>-1459</v>
      </c>
      <c r="T345" s="116"/>
      <c r="U345" s="107"/>
      <c r="V345" s="20">
        <f t="shared" ref="V345:V354" si="209">V344+U345</f>
        <v>-1459</v>
      </c>
      <c r="W345" s="143"/>
    </row>
    <row r="346" spans="1:23" ht="15.75" customHeight="1">
      <c r="A346" s="114"/>
      <c r="B346" s="106"/>
      <c r="C346" s="107"/>
      <c r="D346" s="20">
        <f t="shared" si="203"/>
        <v>-1459</v>
      </c>
      <c r="E346" s="118"/>
      <c r="F346" s="117"/>
      <c r="G346" s="19">
        <f t="shared" si="204"/>
        <v>-1459</v>
      </c>
      <c r="H346" s="116"/>
      <c r="I346" s="107"/>
      <c r="J346" s="26">
        <f t="shared" si="205"/>
        <v>-1459</v>
      </c>
      <c r="K346" s="117"/>
      <c r="L346" s="117"/>
      <c r="M346" s="38">
        <f t="shared" si="206"/>
        <v>-1459</v>
      </c>
      <c r="N346" s="106"/>
      <c r="O346" s="107"/>
      <c r="P346" s="26">
        <f t="shared" si="207"/>
        <v>-1459</v>
      </c>
      <c r="Q346" s="117"/>
      <c r="R346" s="117"/>
      <c r="S346" s="19">
        <f t="shared" si="208"/>
        <v>-1459</v>
      </c>
      <c r="T346" s="116"/>
      <c r="U346" s="116"/>
      <c r="V346" s="20">
        <f t="shared" si="209"/>
        <v>-1459</v>
      </c>
      <c r="W346" s="143"/>
    </row>
    <row r="347" spans="1:23" ht="15.75" customHeight="1">
      <c r="A347" s="114"/>
      <c r="B347" s="106"/>
      <c r="C347" s="107"/>
      <c r="D347" s="20">
        <f t="shared" si="203"/>
        <v>-1459</v>
      </c>
      <c r="E347" s="118"/>
      <c r="F347" s="117"/>
      <c r="G347" s="19">
        <f t="shared" si="204"/>
        <v>-1459</v>
      </c>
      <c r="H347" s="116"/>
      <c r="I347" s="107"/>
      <c r="J347" s="26">
        <f t="shared" si="205"/>
        <v>-1459</v>
      </c>
      <c r="K347" s="117"/>
      <c r="L347" s="117"/>
      <c r="M347" s="38">
        <f t="shared" si="206"/>
        <v>-1459</v>
      </c>
      <c r="N347" s="106"/>
      <c r="O347" s="107"/>
      <c r="P347" s="26">
        <f t="shared" si="207"/>
        <v>-1459</v>
      </c>
      <c r="Q347" s="117"/>
      <c r="R347" s="117"/>
      <c r="S347" s="19">
        <f t="shared" si="208"/>
        <v>-1459</v>
      </c>
      <c r="T347" s="116"/>
      <c r="U347" s="116"/>
      <c r="V347" s="20">
        <f t="shared" si="209"/>
        <v>-1459</v>
      </c>
      <c r="W347" s="143"/>
    </row>
    <row r="348" spans="1:23" ht="15.75" customHeight="1">
      <c r="A348" s="114"/>
      <c r="B348" s="106"/>
      <c r="C348" s="107"/>
      <c r="D348" s="20">
        <f t="shared" si="203"/>
        <v>-1459</v>
      </c>
      <c r="E348" s="118"/>
      <c r="F348" s="117"/>
      <c r="G348" s="19">
        <f t="shared" si="204"/>
        <v>-1459</v>
      </c>
      <c r="H348" s="116"/>
      <c r="I348" s="107"/>
      <c r="J348" s="26">
        <f t="shared" si="205"/>
        <v>-1459</v>
      </c>
      <c r="K348" s="117"/>
      <c r="L348" s="117"/>
      <c r="M348" s="38">
        <f t="shared" si="206"/>
        <v>-1459</v>
      </c>
      <c r="N348" s="106"/>
      <c r="O348" s="107"/>
      <c r="P348" s="26">
        <f t="shared" si="207"/>
        <v>-1459</v>
      </c>
      <c r="Q348" s="117"/>
      <c r="R348" s="117"/>
      <c r="S348" s="19">
        <f t="shared" si="208"/>
        <v>-1459</v>
      </c>
      <c r="T348" s="116"/>
      <c r="U348" s="116"/>
      <c r="V348" s="20">
        <f t="shared" si="209"/>
        <v>-1459</v>
      </c>
      <c r="W348" s="143"/>
    </row>
    <row r="349" spans="1:23" ht="15.75" customHeight="1">
      <c r="A349" s="114"/>
      <c r="B349" s="106"/>
      <c r="C349" s="107"/>
      <c r="D349" s="20">
        <f t="shared" si="203"/>
        <v>-1459</v>
      </c>
      <c r="E349" s="118"/>
      <c r="F349" s="117"/>
      <c r="G349" s="19">
        <f t="shared" si="204"/>
        <v>-1459</v>
      </c>
      <c r="H349" s="116"/>
      <c r="I349" s="107"/>
      <c r="J349" s="26">
        <f t="shared" si="205"/>
        <v>-1459</v>
      </c>
      <c r="K349" s="117"/>
      <c r="L349" s="117"/>
      <c r="M349" s="38">
        <f t="shared" si="206"/>
        <v>-1459</v>
      </c>
      <c r="N349" s="106"/>
      <c r="O349" s="107"/>
      <c r="P349" s="26">
        <f t="shared" si="207"/>
        <v>-1459</v>
      </c>
      <c r="Q349" s="117"/>
      <c r="R349" s="117"/>
      <c r="S349" s="19">
        <f t="shared" si="208"/>
        <v>-1459</v>
      </c>
      <c r="T349" s="116"/>
      <c r="U349" s="116"/>
      <c r="V349" s="20">
        <f t="shared" si="209"/>
        <v>-1459</v>
      </c>
      <c r="W349" s="143"/>
    </row>
    <row r="350" spans="1:23" ht="15.75" customHeight="1">
      <c r="A350" s="114"/>
      <c r="B350" s="106"/>
      <c r="C350" s="107"/>
      <c r="D350" s="20">
        <f t="shared" si="203"/>
        <v>-1459</v>
      </c>
      <c r="E350" s="118"/>
      <c r="F350" s="117"/>
      <c r="G350" s="19">
        <f t="shared" si="204"/>
        <v>-1459</v>
      </c>
      <c r="H350" s="116"/>
      <c r="I350" s="107"/>
      <c r="J350" s="26">
        <f t="shared" si="205"/>
        <v>-1459</v>
      </c>
      <c r="K350" s="117"/>
      <c r="L350" s="117"/>
      <c r="M350" s="38">
        <f t="shared" si="206"/>
        <v>-1459</v>
      </c>
      <c r="N350" s="106"/>
      <c r="O350" s="107"/>
      <c r="P350" s="26">
        <f t="shared" si="207"/>
        <v>-1459</v>
      </c>
      <c r="Q350" s="117"/>
      <c r="R350" s="117"/>
      <c r="S350" s="19">
        <f t="shared" si="208"/>
        <v>-1459</v>
      </c>
      <c r="T350" s="116"/>
      <c r="U350" s="116"/>
      <c r="V350" s="20">
        <f t="shared" si="209"/>
        <v>-1459</v>
      </c>
      <c r="W350" s="143"/>
    </row>
    <row r="351" spans="1:23" ht="15.75" customHeight="1">
      <c r="A351" s="114"/>
      <c r="B351" s="106"/>
      <c r="C351" s="107"/>
      <c r="D351" s="20">
        <f t="shared" si="203"/>
        <v>-1459</v>
      </c>
      <c r="E351" s="118"/>
      <c r="F351" s="117"/>
      <c r="G351" s="19">
        <f t="shared" si="204"/>
        <v>-1459</v>
      </c>
      <c r="H351" s="116"/>
      <c r="I351" s="107"/>
      <c r="J351" s="26">
        <f t="shared" si="205"/>
        <v>-1459</v>
      </c>
      <c r="K351" s="117"/>
      <c r="L351" s="117"/>
      <c r="M351" s="38">
        <f t="shared" si="206"/>
        <v>-1459</v>
      </c>
      <c r="N351" s="106"/>
      <c r="O351" s="107"/>
      <c r="P351" s="26">
        <f t="shared" si="207"/>
        <v>-1459</v>
      </c>
      <c r="Q351" s="117"/>
      <c r="R351" s="117"/>
      <c r="S351" s="19">
        <f t="shared" si="208"/>
        <v>-1459</v>
      </c>
      <c r="T351" s="116"/>
      <c r="U351" s="116"/>
      <c r="V351" s="20">
        <f t="shared" si="209"/>
        <v>-1459</v>
      </c>
      <c r="W351" s="143"/>
    </row>
    <row r="352" spans="1:23" ht="15.75" customHeight="1">
      <c r="A352" s="114"/>
      <c r="B352" s="122"/>
      <c r="C352" s="123"/>
      <c r="D352" s="20">
        <f t="shared" si="203"/>
        <v>-1459</v>
      </c>
      <c r="E352" s="118"/>
      <c r="F352" s="117"/>
      <c r="G352" s="19">
        <f t="shared" si="204"/>
        <v>-1459</v>
      </c>
      <c r="H352" s="124"/>
      <c r="I352" s="123"/>
      <c r="J352" s="26">
        <f t="shared" si="205"/>
        <v>-1459</v>
      </c>
      <c r="K352" s="117"/>
      <c r="L352" s="117"/>
      <c r="M352" s="38">
        <f t="shared" si="206"/>
        <v>-1459</v>
      </c>
      <c r="N352" s="122"/>
      <c r="O352" s="123"/>
      <c r="P352" s="26">
        <f t="shared" si="207"/>
        <v>-1459</v>
      </c>
      <c r="Q352" s="117"/>
      <c r="R352" s="117"/>
      <c r="S352" s="19">
        <f t="shared" si="208"/>
        <v>-1459</v>
      </c>
      <c r="T352" s="116"/>
      <c r="U352" s="116"/>
      <c r="V352" s="20">
        <f t="shared" si="209"/>
        <v>-1459</v>
      </c>
      <c r="W352" s="143"/>
    </row>
    <row r="353" spans="1:23" ht="15.75" customHeight="1">
      <c r="A353" s="114"/>
      <c r="B353" s="122"/>
      <c r="C353" s="123"/>
      <c r="D353" s="20">
        <f t="shared" si="203"/>
        <v>-1459</v>
      </c>
      <c r="E353" s="118"/>
      <c r="F353" s="117"/>
      <c r="G353" s="19">
        <f t="shared" si="204"/>
        <v>-1459</v>
      </c>
      <c r="H353" s="124"/>
      <c r="I353" s="123"/>
      <c r="J353" s="26">
        <f t="shared" si="205"/>
        <v>-1459</v>
      </c>
      <c r="K353" s="117"/>
      <c r="L353" s="117"/>
      <c r="M353" s="38">
        <f t="shared" si="206"/>
        <v>-1459</v>
      </c>
      <c r="N353" s="122"/>
      <c r="O353" s="123"/>
      <c r="P353" s="26">
        <f t="shared" si="207"/>
        <v>-1459</v>
      </c>
      <c r="Q353" s="117"/>
      <c r="R353" s="117"/>
      <c r="S353" s="19">
        <f t="shared" si="208"/>
        <v>-1459</v>
      </c>
      <c r="T353" s="124"/>
      <c r="U353" s="124"/>
      <c r="V353" s="20">
        <f t="shared" si="209"/>
        <v>-1459</v>
      </c>
      <c r="W353" s="143"/>
    </row>
    <row r="354" spans="1:23" ht="15.75" customHeight="1">
      <c r="A354" s="114"/>
      <c r="B354" s="122"/>
      <c r="C354" s="123"/>
      <c r="D354" s="49">
        <f t="shared" si="203"/>
        <v>-1459</v>
      </c>
      <c r="E354" s="154"/>
      <c r="F354" s="128"/>
      <c r="G354" s="29">
        <f t="shared" si="204"/>
        <v>-1459</v>
      </c>
      <c r="H354" s="124"/>
      <c r="I354" s="123"/>
      <c r="J354" s="39">
        <f t="shared" si="205"/>
        <v>-1459</v>
      </c>
      <c r="K354" s="128"/>
      <c r="L354" s="128"/>
      <c r="M354" s="40">
        <f t="shared" si="206"/>
        <v>-1459</v>
      </c>
      <c r="N354" s="122"/>
      <c r="O354" s="123"/>
      <c r="P354" s="39">
        <f t="shared" si="207"/>
        <v>-1459</v>
      </c>
      <c r="Q354" s="128"/>
      <c r="R354" s="128"/>
      <c r="S354" s="29">
        <f t="shared" si="208"/>
        <v>-1459</v>
      </c>
      <c r="T354" s="124"/>
      <c r="U354" s="123"/>
      <c r="V354" s="49">
        <f t="shared" si="209"/>
        <v>-1459</v>
      </c>
      <c r="W354" s="143"/>
    </row>
    <row r="355" spans="1:23" ht="15.75" customHeight="1">
      <c r="A355" s="87"/>
      <c r="B355" s="77">
        <f ca="1">IFERROR(__xludf.DUMMYFUNCTION("DATE(VALUE(LEFT($B$2,4)),VALUE(MID($B$2,6,2)),VALUE(RIGHT($B$2,2)))
+ (VALUE(REGEXEXTRACT(INDIRECT(""A""&amp;ROW()+1),""\d+""))-1)*7
+ INT((COLUMN()-COLUMN($B355))/3)
"),47328)</f>
        <v>47328</v>
      </c>
      <c r="C355" s="81"/>
      <c r="D355" s="82"/>
      <c r="E355" s="77">
        <f ca="1">IFERROR(__xludf.DUMMYFUNCTION("DATE(VALUE(LEFT($B$2,4)),VALUE(MID($B$2,6,2)),VALUE(RIGHT($B$2,2)))
+ (VALUE(REGEXEXTRACT(INDIRECT(""A""&amp;ROW()+1),""\d+""))-1)*7
+ INT((COLUMN()-COLUMN($B355))/3)
"),47329)</f>
        <v>47329</v>
      </c>
      <c r="F355" s="81"/>
      <c r="G355" s="82"/>
      <c r="H355" s="77">
        <f ca="1">IFERROR(__xludf.DUMMYFUNCTION("DATE(VALUE(LEFT($B$2,4)),VALUE(MID($B$2,6,2)),VALUE(RIGHT($B$2,2)))
+ (VALUE(REGEXEXTRACT(INDIRECT(""A""&amp;ROW()+1),""\d+""))-1)*7
+ INT((COLUMN()-COLUMN($B355))/3)
"),47330)</f>
        <v>47330</v>
      </c>
      <c r="I355" s="81"/>
      <c r="J355" s="82"/>
      <c r="K355" s="77">
        <f ca="1">IFERROR(__xludf.DUMMYFUNCTION("DATE(VALUE(LEFT($B$2,4)),VALUE(MID($B$2,6,2)),VALUE(RIGHT($B$2,2)))
+ (VALUE(REGEXEXTRACT(INDIRECT(""A""&amp;ROW()+1),""\d+""))-1)*7
+ INT((COLUMN()-COLUMN($B355))/3)
"),47331)</f>
        <v>47331</v>
      </c>
      <c r="L355" s="81"/>
      <c r="M355" s="82"/>
      <c r="N355" s="77">
        <f ca="1">IFERROR(__xludf.DUMMYFUNCTION("DATE(VALUE(LEFT($B$2,4)),VALUE(MID($B$2,6,2)),VALUE(RIGHT($B$2,2)))
+ (VALUE(REGEXEXTRACT(INDIRECT(""A""&amp;ROW()+1),""\d+""))-1)*7
+ INT((COLUMN()-COLUMN($B355))/3)
"),47332)</f>
        <v>47332</v>
      </c>
      <c r="O355" s="81"/>
      <c r="P355" s="82"/>
      <c r="Q355" s="77">
        <f ca="1">IFERROR(__xludf.DUMMYFUNCTION("DATE(VALUE(LEFT($B$2,4)),VALUE(MID($B$2,6,2)),VALUE(RIGHT($B$2,2)))
+ (VALUE(REGEXEXTRACT(INDIRECT(""A""&amp;ROW()+1),""\d+""))-1)*7
+ INT((COLUMN()-COLUMN($B355))/3)
"),47333)</f>
        <v>47333</v>
      </c>
      <c r="R355" s="81"/>
      <c r="S355" s="82"/>
      <c r="T355" s="77">
        <f ca="1">IFERROR(__xludf.DUMMYFUNCTION("DATE(VALUE(LEFT($B$2,4)),VALUE(MID($B$2,6,2)),VALUE(RIGHT($B$2,2)))
+ (VALUE(REGEXEXTRACT(INDIRECT(""A""&amp;ROW()+1),""\d+""))-1)*7
+ INT((COLUMN()-COLUMN($B355))/3)
"),47334)</f>
        <v>47334</v>
      </c>
      <c r="U355" s="81"/>
      <c r="V355" s="82"/>
      <c r="W355" s="52" t="s">
        <v>20</v>
      </c>
    </row>
    <row r="356" spans="1:23" ht="15.75" customHeight="1">
      <c r="A356" s="47" t="s">
        <v>159</v>
      </c>
      <c r="B356" s="113"/>
      <c r="C356" s="109"/>
      <c r="D356" s="50">
        <f>V354+C356</f>
        <v>-1459</v>
      </c>
      <c r="E356" s="112"/>
      <c r="F356" s="111"/>
      <c r="G356" s="17">
        <f>D366+F356</f>
        <v>-1459</v>
      </c>
      <c r="H356" s="132"/>
      <c r="I356" s="109"/>
      <c r="J356" s="42">
        <f>G366+I356</f>
        <v>-1459</v>
      </c>
      <c r="K356" s="112"/>
      <c r="L356" s="111"/>
      <c r="M356" s="18">
        <f>J366+L356</f>
        <v>-1459</v>
      </c>
      <c r="N356" s="113"/>
      <c r="O356" s="109"/>
      <c r="P356" s="35">
        <f>M366+O356</f>
        <v>-1459</v>
      </c>
      <c r="Q356" s="112"/>
      <c r="R356" s="111"/>
      <c r="S356" s="17">
        <f>P366+R356</f>
        <v>-1459</v>
      </c>
      <c r="T356" s="176"/>
      <c r="U356" s="173"/>
      <c r="V356" s="50">
        <f>S366+U356</f>
        <v>-1459</v>
      </c>
      <c r="W356" s="172"/>
    </row>
    <row r="357" spans="1:23" ht="15.75" customHeight="1">
      <c r="A357" s="114"/>
      <c r="B357" s="118"/>
      <c r="C357" s="117"/>
      <c r="D357" s="45">
        <f t="shared" ref="D357:D366" si="210">D356+C357</f>
        <v>-1459</v>
      </c>
      <c r="E357" s="106"/>
      <c r="F357" s="107"/>
      <c r="G357" s="26">
        <f t="shared" ref="G357:G366" si="211">G356+F357</f>
        <v>-1459</v>
      </c>
      <c r="H357" s="117"/>
      <c r="I357" s="117"/>
      <c r="J357" s="19">
        <f t="shared" ref="J357:J366" si="212">J356+I357</f>
        <v>-1459</v>
      </c>
      <c r="K357" s="106"/>
      <c r="L357" s="107"/>
      <c r="M357" s="26">
        <f t="shared" ref="M357:M366" si="213">M356+L357</f>
        <v>-1459</v>
      </c>
      <c r="N357" s="118"/>
      <c r="O357" s="117"/>
      <c r="P357" s="38">
        <f t="shared" ref="P357:P366" si="214">P356+O357</f>
        <v>-1459</v>
      </c>
      <c r="Q357" s="106"/>
      <c r="R357" s="107"/>
      <c r="S357" s="26">
        <f t="shared" ref="S357:S366" si="215">S356+R357</f>
        <v>-1459</v>
      </c>
      <c r="T357" s="177"/>
      <c r="U357" s="136"/>
      <c r="V357" s="45">
        <f t="shared" ref="V357:V366" si="216">V356+U357</f>
        <v>-1459</v>
      </c>
      <c r="W357" s="143"/>
    </row>
    <row r="358" spans="1:23" ht="15.75" customHeight="1">
      <c r="A358" s="114"/>
      <c r="B358" s="118"/>
      <c r="C358" s="117"/>
      <c r="D358" s="45">
        <f t="shared" si="210"/>
        <v>-1459</v>
      </c>
      <c r="E358" s="106"/>
      <c r="F358" s="107"/>
      <c r="G358" s="26">
        <f t="shared" si="211"/>
        <v>-1459</v>
      </c>
      <c r="H358" s="117"/>
      <c r="I358" s="117"/>
      <c r="J358" s="19">
        <f t="shared" si="212"/>
        <v>-1459</v>
      </c>
      <c r="K358" s="106"/>
      <c r="L358" s="107"/>
      <c r="M358" s="26">
        <f t="shared" si="213"/>
        <v>-1459</v>
      </c>
      <c r="N358" s="117"/>
      <c r="O358" s="117"/>
      <c r="P358" s="38">
        <f t="shared" si="214"/>
        <v>-1459</v>
      </c>
      <c r="Q358" s="106"/>
      <c r="R358" s="107"/>
      <c r="S358" s="26">
        <f t="shared" si="215"/>
        <v>-1459</v>
      </c>
      <c r="T358" s="177"/>
      <c r="U358" s="136"/>
      <c r="V358" s="45">
        <f t="shared" si="216"/>
        <v>-1459</v>
      </c>
      <c r="W358" s="143"/>
    </row>
    <row r="359" spans="1:23" ht="15.75" customHeight="1">
      <c r="A359" s="114"/>
      <c r="B359" s="118"/>
      <c r="C359" s="117"/>
      <c r="D359" s="45">
        <f t="shared" si="210"/>
        <v>-1459</v>
      </c>
      <c r="E359" s="106"/>
      <c r="F359" s="107"/>
      <c r="G359" s="26">
        <f t="shared" si="211"/>
        <v>-1459</v>
      </c>
      <c r="H359" s="117"/>
      <c r="I359" s="117"/>
      <c r="J359" s="19">
        <f t="shared" si="212"/>
        <v>-1459</v>
      </c>
      <c r="K359" s="106"/>
      <c r="L359" s="107"/>
      <c r="M359" s="26">
        <f t="shared" si="213"/>
        <v>-1459</v>
      </c>
      <c r="N359" s="117"/>
      <c r="O359" s="117"/>
      <c r="P359" s="38">
        <f t="shared" si="214"/>
        <v>-1459</v>
      </c>
      <c r="Q359" s="106"/>
      <c r="R359" s="107"/>
      <c r="S359" s="26">
        <f t="shared" si="215"/>
        <v>-1459</v>
      </c>
      <c r="T359" s="177"/>
      <c r="U359" s="136"/>
      <c r="V359" s="45">
        <f t="shared" si="216"/>
        <v>-1459</v>
      </c>
      <c r="W359" s="143"/>
    </row>
    <row r="360" spans="1:23" ht="15.75" customHeight="1">
      <c r="A360" s="114"/>
      <c r="B360" s="118"/>
      <c r="C360" s="117"/>
      <c r="D360" s="45">
        <f t="shared" si="210"/>
        <v>-1459</v>
      </c>
      <c r="E360" s="106"/>
      <c r="F360" s="107"/>
      <c r="G360" s="26">
        <f t="shared" si="211"/>
        <v>-1459</v>
      </c>
      <c r="H360" s="133"/>
      <c r="I360" s="117"/>
      <c r="J360" s="19">
        <f t="shared" si="212"/>
        <v>-1459</v>
      </c>
      <c r="K360" s="106"/>
      <c r="L360" s="107"/>
      <c r="M360" s="26">
        <f t="shared" si="213"/>
        <v>-1459</v>
      </c>
      <c r="N360" s="117"/>
      <c r="O360" s="117"/>
      <c r="P360" s="38">
        <f t="shared" si="214"/>
        <v>-1459</v>
      </c>
      <c r="Q360" s="106"/>
      <c r="R360" s="107"/>
      <c r="S360" s="26">
        <f t="shared" si="215"/>
        <v>-1459</v>
      </c>
      <c r="T360" s="177"/>
      <c r="U360" s="136"/>
      <c r="V360" s="45">
        <f t="shared" si="216"/>
        <v>-1459</v>
      </c>
      <c r="W360" s="143"/>
    </row>
    <row r="361" spans="1:23" ht="15.75" customHeight="1">
      <c r="A361" s="114"/>
      <c r="B361" s="118"/>
      <c r="C361" s="117"/>
      <c r="D361" s="45">
        <f t="shared" si="210"/>
        <v>-1459</v>
      </c>
      <c r="E361" s="106"/>
      <c r="F361" s="107"/>
      <c r="G361" s="26">
        <f t="shared" si="211"/>
        <v>-1459</v>
      </c>
      <c r="H361" s="133"/>
      <c r="I361" s="117"/>
      <c r="J361" s="19">
        <f t="shared" si="212"/>
        <v>-1459</v>
      </c>
      <c r="K361" s="106"/>
      <c r="L361" s="107"/>
      <c r="M361" s="26">
        <f t="shared" si="213"/>
        <v>-1459</v>
      </c>
      <c r="N361" s="117"/>
      <c r="O361" s="117"/>
      <c r="P361" s="38">
        <f t="shared" si="214"/>
        <v>-1459</v>
      </c>
      <c r="Q361" s="106"/>
      <c r="R361" s="107"/>
      <c r="S361" s="26">
        <f t="shared" si="215"/>
        <v>-1459</v>
      </c>
      <c r="T361" s="136"/>
      <c r="U361" s="136"/>
      <c r="V361" s="45">
        <f t="shared" si="216"/>
        <v>-1459</v>
      </c>
      <c r="W361" s="143"/>
    </row>
    <row r="362" spans="1:23" ht="15.75" customHeight="1">
      <c r="A362" s="114"/>
      <c r="B362" s="117"/>
      <c r="C362" s="117"/>
      <c r="D362" s="45">
        <f t="shared" si="210"/>
        <v>-1459</v>
      </c>
      <c r="E362" s="106"/>
      <c r="F362" s="107"/>
      <c r="G362" s="26">
        <f t="shared" si="211"/>
        <v>-1459</v>
      </c>
      <c r="H362" s="133"/>
      <c r="I362" s="117"/>
      <c r="J362" s="19">
        <f t="shared" si="212"/>
        <v>-1459</v>
      </c>
      <c r="K362" s="106"/>
      <c r="L362" s="107"/>
      <c r="M362" s="26">
        <f t="shared" si="213"/>
        <v>-1459</v>
      </c>
      <c r="N362" s="117"/>
      <c r="O362" s="117"/>
      <c r="P362" s="38">
        <f t="shared" si="214"/>
        <v>-1459</v>
      </c>
      <c r="Q362" s="106"/>
      <c r="R362" s="107"/>
      <c r="S362" s="26">
        <f t="shared" si="215"/>
        <v>-1459</v>
      </c>
      <c r="T362" s="136"/>
      <c r="U362" s="136"/>
      <c r="V362" s="45">
        <f t="shared" si="216"/>
        <v>-1459</v>
      </c>
      <c r="W362" s="143"/>
    </row>
    <row r="363" spans="1:23" ht="15.75" customHeight="1">
      <c r="A363" s="114"/>
      <c r="B363" s="117"/>
      <c r="C363" s="117"/>
      <c r="D363" s="45">
        <f t="shared" si="210"/>
        <v>-1459</v>
      </c>
      <c r="E363" s="106"/>
      <c r="F363" s="107"/>
      <c r="G363" s="26">
        <f t="shared" si="211"/>
        <v>-1459</v>
      </c>
      <c r="H363" s="133"/>
      <c r="I363" s="117"/>
      <c r="J363" s="19">
        <f t="shared" si="212"/>
        <v>-1459</v>
      </c>
      <c r="K363" s="106"/>
      <c r="L363" s="107"/>
      <c r="M363" s="26">
        <f t="shared" si="213"/>
        <v>-1459</v>
      </c>
      <c r="N363" s="117"/>
      <c r="O363" s="117"/>
      <c r="P363" s="38">
        <f t="shared" si="214"/>
        <v>-1459</v>
      </c>
      <c r="Q363" s="106"/>
      <c r="R363" s="107"/>
      <c r="S363" s="26">
        <f t="shared" si="215"/>
        <v>-1459</v>
      </c>
      <c r="T363" s="136"/>
      <c r="U363" s="136"/>
      <c r="V363" s="45">
        <f t="shared" si="216"/>
        <v>-1459</v>
      </c>
      <c r="W363" s="143"/>
    </row>
    <row r="364" spans="1:23" ht="15.75" customHeight="1">
      <c r="A364" s="114"/>
      <c r="B364" s="117"/>
      <c r="C364" s="117"/>
      <c r="D364" s="45">
        <f t="shared" si="210"/>
        <v>-1459</v>
      </c>
      <c r="E364" s="106"/>
      <c r="F364" s="107"/>
      <c r="G364" s="26">
        <f t="shared" si="211"/>
        <v>-1459</v>
      </c>
      <c r="H364" s="133"/>
      <c r="I364" s="117"/>
      <c r="J364" s="19">
        <f t="shared" si="212"/>
        <v>-1459</v>
      </c>
      <c r="K364" s="106"/>
      <c r="L364" s="107"/>
      <c r="M364" s="26">
        <f t="shared" si="213"/>
        <v>-1459</v>
      </c>
      <c r="N364" s="117"/>
      <c r="O364" s="117"/>
      <c r="P364" s="38">
        <f t="shared" si="214"/>
        <v>-1459</v>
      </c>
      <c r="Q364" s="106"/>
      <c r="R364" s="107"/>
      <c r="S364" s="26">
        <f t="shared" si="215"/>
        <v>-1459</v>
      </c>
      <c r="T364" s="136"/>
      <c r="U364" s="136"/>
      <c r="V364" s="45">
        <f t="shared" si="216"/>
        <v>-1459</v>
      </c>
      <c r="W364" s="143"/>
    </row>
    <row r="365" spans="1:23" ht="15.75" customHeight="1">
      <c r="A365" s="114"/>
      <c r="B365" s="117"/>
      <c r="C365" s="117"/>
      <c r="D365" s="45">
        <f t="shared" si="210"/>
        <v>-1459</v>
      </c>
      <c r="E365" s="122"/>
      <c r="F365" s="123"/>
      <c r="G365" s="26">
        <f t="shared" si="211"/>
        <v>-1459</v>
      </c>
      <c r="H365" s="133"/>
      <c r="I365" s="117"/>
      <c r="J365" s="19">
        <f t="shared" si="212"/>
        <v>-1459</v>
      </c>
      <c r="K365" s="122"/>
      <c r="L365" s="123"/>
      <c r="M365" s="26">
        <f t="shared" si="213"/>
        <v>-1459</v>
      </c>
      <c r="N365" s="117"/>
      <c r="O365" s="117"/>
      <c r="P365" s="38">
        <f t="shared" si="214"/>
        <v>-1459</v>
      </c>
      <c r="Q365" s="122"/>
      <c r="R365" s="123"/>
      <c r="S365" s="26">
        <f t="shared" si="215"/>
        <v>-1459</v>
      </c>
      <c r="T365" s="136"/>
      <c r="U365" s="136"/>
      <c r="V365" s="45">
        <f t="shared" si="216"/>
        <v>-1459</v>
      </c>
      <c r="W365" s="143"/>
    </row>
    <row r="366" spans="1:23" ht="15.75" customHeight="1">
      <c r="A366" s="114"/>
      <c r="B366" s="128"/>
      <c r="C366" s="128"/>
      <c r="D366" s="46">
        <f t="shared" si="210"/>
        <v>-1459</v>
      </c>
      <c r="E366" s="122"/>
      <c r="F366" s="123"/>
      <c r="G366" s="39">
        <f t="shared" si="211"/>
        <v>-1459</v>
      </c>
      <c r="H366" s="140"/>
      <c r="I366" s="128"/>
      <c r="J366" s="29">
        <f t="shared" si="212"/>
        <v>-1459</v>
      </c>
      <c r="K366" s="122"/>
      <c r="L366" s="123"/>
      <c r="M366" s="39">
        <f t="shared" si="213"/>
        <v>-1459</v>
      </c>
      <c r="N366" s="128"/>
      <c r="O366" s="128"/>
      <c r="P366" s="40">
        <f t="shared" si="214"/>
        <v>-1459</v>
      </c>
      <c r="Q366" s="122"/>
      <c r="R366" s="123"/>
      <c r="S366" s="39">
        <f t="shared" si="215"/>
        <v>-1459</v>
      </c>
      <c r="T366" s="141"/>
      <c r="U366" s="141"/>
      <c r="V366" s="46">
        <f t="shared" si="216"/>
        <v>-1459</v>
      </c>
      <c r="W366" s="143"/>
    </row>
    <row r="367" spans="1:23" ht="15.75" customHeight="1">
      <c r="A367" s="87"/>
      <c r="B367" s="77">
        <f ca="1">IFERROR(__xludf.DUMMYFUNCTION("DATE(VALUE(LEFT($B$2,4)),VALUE(MID($B$2,6,2)),VALUE(RIGHT($B$2,2)))
+ (VALUE(REGEXEXTRACT(INDIRECT(""A""&amp;ROW()+1),""\d+""))-1)*7
+ INT((COLUMN()-COLUMN($B367))/3)
"),47335)</f>
        <v>47335</v>
      </c>
      <c r="C367" s="81"/>
      <c r="D367" s="82"/>
      <c r="E367" s="77">
        <f ca="1">IFERROR(__xludf.DUMMYFUNCTION("DATE(VALUE(LEFT($B$2,4)),VALUE(MID($B$2,6,2)),VALUE(RIGHT($B$2,2)))
+ (VALUE(REGEXEXTRACT(INDIRECT(""A""&amp;ROW()+1),""\d+""))-1)*7
+ INT((COLUMN()-COLUMN($B367))/3)
"),47336)</f>
        <v>47336</v>
      </c>
      <c r="F367" s="81"/>
      <c r="G367" s="82"/>
      <c r="H367" s="77">
        <f ca="1">IFERROR(__xludf.DUMMYFUNCTION("DATE(VALUE(LEFT($B$2,4)),VALUE(MID($B$2,6,2)),VALUE(RIGHT($B$2,2)))
+ (VALUE(REGEXEXTRACT(INDIRECT(""A""&amp;ROW()+1),""\d+""))-1)*7
+ INT((COLUMN()-COLUMN($B367))/3)
"),47337)</f>
        <v>47337</v>
      </c>
      <c r="I367" s="81"/>
      <c r="J367" s="82"/>
      <c r="K367" s="77">
        <f ca="1">IFERROR(__xludf.DUMMYFUNCTION("DATE(VALUE(LEFT($B$2,4)),VALUE(MID($B$2,6,2)),VALUE(RIGHT($B$2,2)))
+ (VALUE(REGEXEXTRACT(INDIRECT(""A""&amp;ROW()+1),""\d+""))-1)*7
+ INT((COLUMN()-COLUMN($B367))/3)
"),47338)</f>
        <v>47338</v>
      </c>
      <c r="L367" s="81"/>
      <c r="M367" s="82"/>
      <c r="N367" s="77">
        <f ca="1">IFERROR(__xludf.DUMMYFUNCTION("DATE(VALUE(LEFT($B$2,4)),VALUE(MID($B$2,6,2)),VALUE(RIGHT($B$2,2)))
+ (VALUE(REGEXEXTRACT(INDIRECT(""A""&amp;ROW()+1),""\d+""))-1)*7
+ INT((COLUMN()-COLUMN($B367))/3)
"),47339)</f>
        <v>47339</v>
      </c>
      <c r="O367" s="81"/>
      <c r="P367" s="82"/>
      <c r="Q367" s="77">
        <f ca="1">IFERROR(__xludf.DUMMYFUNCTION("DATE(VALUE(LEFT($B$2,4)),VALUE(MID($B$2,6,2)),VALUE(RIGHT($B$2,2)))
+ (VALUE(REGEXEXTRACT(INDIRECT(""A""&amp;ROW()+1),""\d+""))-1)*7
+ INT((COLUMN()-COLUMN($B367))/3)
"),47340)</f>
        <v>47340</v>
      </c>
      <c r="R367" s="81"/>
      <c r="S367" s="82"/>
      <c r="T367" s="77">
        <f ca="1">IFERROR(__xludf.DUMMYFUNCTION("DATE(VALUE(LEFT($B$2,4)),VALUE(MID($B$2,6,2)),VALUE(RIGHT($B$2,2)))
+ (VALUE(REGEXEXTRACT(INDIRECT(""A""&amp;ROW()+1),""\d+""))-1)*7
+ INT((COLUMN()-COLUMN($B367))/3)
"),47341)</f>
        <v>47341</v>
      </c>
      <c r="U367" s="81"/>
      <c r="V367" s="82"/>
      <c r="W367" s="143"/>
    </row>
    <row r="368" spans="1:23" ht="15.75" customHeight="1">
      <c r="A368" s="51" t="s">
        <v>160</v>
      </c>
      <c r="B368" s="112"/>
      <c r="C368" s="111"/>
      <c r="D368" s="48">
        <f>V366+C368</f>
        <v>-1459</v>
      </c>
      <c r="E368" s="113"/>
      <c r="F368" s="109"/>
      <c r="G368" s="42">
        <f>D378+F368</f>
        <v>-1459</v>
      </c>
      <c r="H368" s="110"/>
      <c r="I368" s="111"/>
      <c r="J368" s="17">
        <f>G378+I368</f>
        <v>-1459</v>
      </c>
      <c r="K368" s="109"/>
      <c r="L368" s="109"/>
      <c r="M368" s="35">
        <f>J378+L368</f>
        <v>-1459</v>
      </c>
      <c r="N368" s="112"/>
      <c r="O368" s="111"/>
      <c r="P368" s="17">
        <f>M378+O368</f>
        <v>-1459</v>
      </c>
      <c r="Q368" s="109"/>
      <c r="R368" s="109"/>
      <c r="S368" s="35">
        <f>P378+R368</f>
        <v>-1459</v>
      </c>
      <c r="T368" s="112"/>
      <c r="U368" s="111"/>
      <c r="V368" s="48">
        <f>S378+U368</f>
        <v>-1459</v>
      </c>
      <c r="W368" s="143"/>
    </row>
    <row r="369" spans="1:23" ht="15.75" customHeight="1">
      <c r="A369" s="114"/>
      <c r="B369" s="106"/>
      <c r="C369" s="107"/>
      <c r="D369" s="20">
        <f t="shared" ref="D369:D378" si="217">D368+C369</f>
        <v>-1459</v>
      </c>
      <c r="E369" s="118"/>
      <c r="F369" s="117"/>
      <c r="G369" s="19">
        <f t="shared" ref="G369:G378" si="218">G368+F369</f>
        <v>-1459</v>
      </c>
      <c r="H369" s="116"/>
      <c r="I369" s="107"/>
      <c r="J369" s="26">
        <f t="shared" ref="J369:J378" si="219">J368+I369</f>
        <v>-1459</v>
      </c>
      <c r="K369" s="117"/>
      <c r="L369" s="117"/>
      <c r="M369" s="38">
        <f t="shared" ref="M369:M378" si="220">M368+L369</f>
        <v>-1459</v>
      </c>
      <c r="N369" s="106"/>
      <c r="O369" s="107"/>
      <c r="P369" s="26">
        <f t="shared" ref="P369:P378" si="221">P368+O369</f>
        <v>-1459</v>
      </c>
      <c r="Q369" s="117"/>
      <c r="R369" s="117"/>
      <c r="S369" s="38">
        <f t="shared" ref="S369:S378" si="222">S368+R369</f>
        <v>-1459</v>
      </c>
      <c r="T369" s="106"/>
      <c r="U369" s="107"/>
      <c r="V369" s="20">
        <f t="shared" ref="V369:V378" si="223">V368+U369</f>
        <v>-1459</v>
      </c>
      <c r="W369" s="143"/>
    </row>
    <row r="370" spans="1:23" ht="15.75" customHeight="1">
      <c r="A370" s="114"/>
      <c r="B370" s="106"/>
      <c r="C370" s="107"/>
      <c r="D370" s="20">
        <f t="shared" si="217"/>
        <v>-1459</v>
      </c>
      <c r="E370" s="118"/>
      <c r="F370" s="117"/>
      <c r="G370" s="19">
        <f t="shared" si="218"/>
        <v>-1459</v>
      </c>
      <c r="H370" s="116"/>
      <c r="I370" s="107"/>
      <c r="J370" s="26">
        <f t="shared" si="219"/>
        <v>-1459</v>
      </c>
      <c r="K370" s="117"/>
      <c r="L370" s="117"/>
      <c r="M370" s="38">
        <f t="shared" si="220"/>
        <v>-1459</v>
      </c>
      <c r="N370" s="106"/>
      <c r="O370" s="107"/>
      <c r="P370" s="26">
        <f t="shared" si="221"/>
        <v>-1459</v>
      </c>
      <c r="Q370" s="117"/>
      <c r="R370" s="117"/>
      <c r="S370" s="38">
        <f t="shared" si="222"/>
        <v>-1459</v>
      </c>
      <c r="T370" s="106"/>
      <c r="U370" s="116"/>
      <c r="V370" s="20">
        <f t="shared" si="223"/>
        <v>-1459</v>
      </c>
      <c r="W370" s="143"/>
    </row>
    <row r="371" spans="1:23" ht="15.75" customHeight="1">
      <c r="A371" s="114"/>
      <c r="B371" s="106"/>
      <c r="C371" s="107"/>
      <c r="D371" s="20">
        <f t="shared" si="217"/>
        <v>-1459</v>
      </c>
      <c r="E371" s="118"/>
      <c r="F371" s="117"/>
      <c r="G371" s="19">
        <f t="shared" si="218"/>
        <v>-1459</v>
      </c>
      <c r="H371" s="116"/>
      <c r="I371" s="107"/>
      <c r="J371" s="26">
        <f t="shared" si="219"/>
        <v>-1459</v>
      </c>
      <c r="K371" s="117"/>
      <c r="L371" s="117"/>
      <c r="M371" s="38">
        <f t="shared" si="220"/>
        <v>-1459</v>
      </c>
      <c r="N371" s="106"/>
      <c r="O371" s="107"/>
      <c r="P371" s="26">
        <f t="shared" si="221"/>
        <v>-1459</v>
      </c>
      <c r="Q371" s="117"/>
      <c r="R371" s="117"/>
      <c r="S371" s="38">
        <f t="shared" si="222"/>
        <v>-1459</v>
      </c>
      <c r="T371" s="106"/>
      <c r="U371" s="116"/>
      <c r="V371" s="20">
        <f t="shared" si="223"/>
        <v>-1459</v>
      </c>
      <c r="W371" s="143"/>
    </row>
    <row r="372" spans="1:23" ht="15.75" customHeight="1">
      <c r="A372" s="114"/>
      <c r="B372" s="106"/>
      <c r="C372" s="107"/>
      <c r="D372" s="20">
        <f t="shared" si="217"/>
        <v>-1459</v>
      </c>
      <c r="E372" s="118"/>
      <c r="F372" s="117"/>
      <c r="G372" s="19">
        <f t="shared" si="218"/>
        <v>-1459</v>
      </c>
      <c r="H372" s="116"/>
      <c r="I372" s="107"/>
      <c r="J372" s="26">
        <f t="shared" si="219"/>
        <v>-1459</v>
      </c>
      <c r="K372" s="117"/>
      <c r="L372" s="117"/>
      <c r="M372" s="38">
        <f t="shared" si="220"/>
        <v>-1459</v>
      </c>
      <c r="N372" s="106"/>
      <c r="O372" s="107"/>
      <c r="P372" s="26">
        <f t="shared" si="221"/>
        <v>-1459</v>
      </c>
      <c r="Q372" s="117"/>
      <c r="R372" s="117"/>
      <c r="S372" s="38">
        <f t="shared" si="222"/>
        <v>-1459</v>
      </c>
      <c r="T372" s="106"/>
      <c r="U372" s="116"/>
      <c r="V372" s="20">
        <f t="shared" si="223"/>
        <v>-1459</v>
      </c>
      <c r="W372" s="143"/>
    </row>
    <row r="373" spans="1:23" ht="15.75" customHeight="1">
      <c r="A373" s="114"/>
      <c r="B373" s="106"/>
      <c r="C373" s="107"/>
      <c r="D373" s="20">
        <f t="shared" si="217"/>
        <v>-1459</v>
      </c>
      <c r="E373" s="118"/>
      <c r="F373" s="117"/>
      <c r="G373" s="19">
        <f t="shared" si="218"/>
        <v>-1459</v>
      </c>
      <c r="H373" s="116"/>
      <c r="I373" s="107"/>
      <c r="J373" s="26">
        <f t="shared" si="219"/>
        <v>-1459</v>
      </c>
      <c r="K373" s="117"/>
      <c r="L373" s="117"/>
      <c r="M373" s="38">
        <f t="shared" si="220"/>
        <v>-1459</v>
      </c>
      <c r="N373" s="106"/>
      <c r="O373" s="107"/>
      <c r="P373" s="26">
        <f t="shared" si="221"/>
        <v>-1459</v>
      </c>
      <c r="Q373" s="117"/>
      <c r="R373" s="117"/>
      <c r="S373" s="38">
        <f t="shared" si="222"/>
        <v>-1459</v>
      </c>
      <c r="T373" s="106"/>
      <c r="U373" s="116"/>
      <c r="V373" s="20">
        <f t="shared" si="223"/>
        <v>-1459</v>
      </c>
      <c r="W373" s="143"/>
    </row>
    <row r="374" spans="1:23" ht="15.75" customHeight="1">
      <c r="A374" s="114"/>
      <c r="B374" s="106"/>
      <c r="C374" s="107"/>
      <c r="D374" s="20">
        <f t="shared" si="217"/>
        <v>-1459</v>
      </c>
      <c r="E374" s="118"/>
      <c r="F374" s="117"/>
      <c r="G374" s="19">
        <f t="shared" si="218"/>
        <v>-1459</v>
      </c>
      <c r="H374" s="116"/>
      <c r="I374" s="107"/>
      <c r="J374" s="26">
        <f t="shared" si="219"/>
        <v>-1459</v>
      </c>
      <c r="K374" s="117"/>
      <c r="L374" s="117"/>
      <c r="M374" s="38">
        <f t="shared" si="220"/>
        <v>-1459</v>
      </c>
      <c r="N374" s="106"/>
      <c r="O374" s="107"/>
      <c r="P374" s="26">
        <f t="shared" si="221"/>
        <v>-1459</v>
      </c>
      <c r="Q374" s="117"/>
      <c r="R374" s="117"/>
      <c r="S374" s="38">
        <f t="shared" si="222"/>
        <v>-1459</v>
      </c>
      <c r="T374" s="106"/>
      <c r="U374" s="116"/>
      <c r="V374" s="20">
        <f t="shared" si="223"/>
        <v>-1459</v>
      </c>
      <c r="W374" s="143"/>
    </row>
    <row r="375" spans="1:23" ht="15.75" customHeight="1">
      <c r="A375" s="114"/>
      <c r="B375" s="106"/>
      <c r="C375" s="107"/>
      <c r="D375" s="20">
        <f t="shared" si="217"/>
        <v>-1459</v>
      </c>
      <c r="E375" s="118"/>
      <c r="F375" s="117"/>
      <c r="G375" s="19">
        <f t="shared" si="218"/>
        <v>-1459</v>
      </c>
      <c r="H375" s="116"/>
      <c r="I375" s="107"/>
      <c r="J375" s="26">
        <f t="shared" si="219"/>
        <v>-1459</v>
      </c>
      <c r="K375" s="117"/>
      <c r="L375" s="117"/>
      <c r="M375" s="38">
        <f t="shared" si="220"/>
        <v>-1459</v>
      </c>
      <c r="N375" s="106"/>
      <c r="O375" s="107"/>
      <c r="P375" s="26">
        <f t="shared" si="221"/>
        <v>-1459</v>
      </c>
      <c r="Q375" s="117"/>
      <c r="R375" s="117"/>
      <c r="S375" s="38">
        <f t="shared" si="222"/>
        <v>-1459</v>
      </c>
      <c r="T375" s="106"/>
      <c r="U375" s="116"/>
      <c r="V375" s="20">
        <f t="shared" si="223"/>
        <v>-1459</v>
      </c>
      <c r="W375" s="143"/>
    </row>
    <row r="376" spans="1:23" ht="15.75" customHeight="1">
      <c r="A376" s="114"/>
      <c r="B376" s="122"/>
      <c r="C376" s="123"/>
      <c r="D376" s="20">
        <f t="shared" si="217"/>
        <v>-1459</v>
      </c>
      <c r="E376" s="118"/>
      <c r="F376" s="117"/>
      <c r="G376" s="19">
        <f t="shared" si="218"/>
        <v>-1459</v>
      </c>
      <c r="H376" s="124"/>
      <c r="I376" s="123"/>
      <c r="J376" s="26">
        <f t="shared" si="219"/>
        <v>-1459</v>
      </c>
      <c r="K376" s="117"/>
      <c r="L376" s="117"/>
      <c r="M376" s="38">
        <f t="shared" si="220"/>
        <v>-1459</v>
      </c>
      <c r="N376" s="122"/>
      <c r="O376" s="123"/>
      <c r="P376" s="26">
        <f t="shared" si="221"/>
        <v>-1459</v>
      </c>
      <c r="Q376" s="117"/>
      <c r="R376" s="117"/>
      <c r="S376" s="38">
        <f t="shared" si="222"/>
        <v>-1459</v>
      </c>
      <c r="T376" s="106"/>
      <c r="U376" s="116"/>
      <c r="V376" s="20">
        <f t="shared" si="223"/>
        <v>-1459</v>
      </c>
      <c r="W376" s="143"/>
    </row>
    <row r="377" spans="1:23" ht="15.75" customHeight="1">
      <c r="A377" s="114"/>
      <c r="B377" s="122"/>
      <c r="C377" s="123"/>
      <c r="D377" s="20">
        <f t="shared" si="217"/>
        <v>-1459</v>
      </c>
      <c r="E377" s="118"/>
      <c r="F377" s="117"/>
      <c r="G377" s="19">
        <f t="shared" si="218"/>
        <v>-1459</v>
      </c>
      <c r="H377" s="124"/>
      <c r="I377" s="123"/>
      <c r="J377" s="26">
        <f t="shared" si="219"/>
        <v>-1459</v>
      </c>
      <c r="K377" s="117"/>
      <c r="L377" s="117"/>
      <c r="M377" s="38">
        <f t="shared" si="220"/>
        <v>-1459</v>
      </c>
      <c r="N377" s="122"/>
      <c r="O377" s="123"/>
      <c r="P377" s="26">
        <f t="shared" si="221"/>
        <v>-1459</v>
      </c>
      <c r="Q377" s="117"/>
      <c r="R377" s="117"/>
      <c r="S377" s="38">
        <f t="shared" si="222"/>
        <v>-1459</v>
      </c>
      <c r="T377" s="122"/>
      <c r="U377" s="124"/>
      <c r="V377" s="20">
        <f t="shared" si="223"/>
        <v>-1459</v>
      </c>
      <c r="W377" s="143"/>
    </row>
    <row r="378" spans="1:23" ht="15.75" customHeight="1">
      <c r="A378" s="114"/>
      <c r="B378" s="122"/>
      <c r="C378" s="123"/>
      <c r="D378" s="49">
        <f t="shared" si="217"/>
        <v>-1459</v>
      </c>
      <c r="E378" s="154"/>
      <c r="F378" s="128"/>
      <c r="G378" s="29">
        <f t="shared" si="218"/>
        <v>-1459</v>
      </c>
      <c r="H378" s="124"/>
      <c r="I378" s="123"/>
      <c r="J378" s="39">
        <f t="shared" si="219"/>
        <v>-1459</v>
      </c>
      <c r="K378" s="128"/>
      <c r="L378" s="128"/>
      <c r="M378" s="40">
        <f t="shared" si="220"/>
        <v>-1459</v>
      </c>
      <c r="N378" s="122"/>
      <c r="O378" s="123"/>
      <c r="P378" s="39">
        <f t="shared" si="221"/>
        <v>-1459</v>
      </c>
      <c r="Q378" s="128"/>
      <c r="R378" s="128"/>
      <c r="S378" s="40">
        <f t="shared" si="222"/>
        <v>-1459</v>
      </c>
      <c r="T378" s="122"/>
      <c r="U378" s="123"/>
      <c r="V378" s="49">
        <f t="shared" si="223"/>
        <v>-1459</v>
      </c>
      <c r="W378" s="143"/>
    </row>
    <row r="379" spans="1:23" ht="15.75" customHeight="1">
      <c r="A379" s="87"/>
      <c r="B379" s="77">
        <f ca="1">IFERROR(__xludf.DUMMYFUNCTION("DATE(VALUE(LEFT($B$2,4)),VALUE(MID($B$2,6,2)),VALUE(RIGHT($B$2,2)))
+ (VALUE(REGEXEXTRACT(INDIRECT(""A""&amp;ROW()+1),""\d+""))-1)*7
+ INT((COLUMN()-COLUMN($B379))/3)
"),47342)</f>
        <v>47342</v>
      </c>
      <c r="C379" s="81"/>
      <c r="D379" s="82"/>
      <c r="E379" s="77">
        <f ca="1">IFERROR(__xludf.DUMMYFUNCTION("DATE(VALUE(LEFT($B$2,4)),VALUE(MID($B$2,6,2)),VALUE(RIGHT($B$2,2)))
+ (VALUE(REGEXEXTRACT(INDIRECT(""A""&amp;ROW()+1),""\d+""))-1)*7
+ INT((COLUMN()-COLUMN($B379))/3)
"),47343)</f>
        <v>47343</v>
      </c>
      <c r="F379" s="81"/>
      <c r="G379" s="82"/>
      <c r="H379" s="77">
        <f ca="1">IFERROR(__xludf.DUMMYFUNCTION("DATE(VALUE(LEFT($B$2,4)),VALUE(MID($B$2,6,2)),VALUE(RIGHT($B$2,2)))
+ (VALUE(REGEXEXTRACT(INDIRECT(""A""&amp;ROW()+1),""\d+""))-1)*7
+ INT((COLUMN()-COLUMN($B379))/3)
"),47344)</f>
        <v>47344</v>
      </c>
      <c r="I379" s="81"/>
      <c r="J379" s="82"/>
      <c r="K379" s="77">
        <f ca="1">IFERROR(__xludf.DUMMYFUNCTION("DATE(VALUE(LEFT($B$2,4)),VALUE(MID($B$2,6,2)),VALUE(RIGHT($B$2,2)))
+ (VALUE(REGEXEXTRACT(INDIRECT(""A""&amp;ROW()+1),""\d+""))-1)*7
+ INT((COLUMN()-COLUMN($B379))/3)
"),47345)</f>
        <v>47345</v>
      </c>
      <c r="L379" s="81"/>
      <c r="M379" s="82"/>
      <c r="N379" s="77">
        <f ca="1">IFERROR(__xludf.DUMMYFUNCTION("DATE(VALUE(LEFT($B$2,4)),VALUE(MID($B$2,6,2)),VALUE(RIGHT($B$2,2)))
+ (VALUE(REGEXEXTRACT(INDIRECT(""A""&amp;ROW()+1),""\d+""))-1)*7
+ INT((COLUMN()-COLUMN($B379))/3)
"),47346)</f>
        <v>47346</v>
      </c>
      <c r="O379" s="81"/>
      <c r="P379" s="82"/>
      <c r="Q379" s="77">
        <f ca="1">IFERROR(__xludf.DUMMYFUNCTION("DATE(VALUE(LEFT($B$2,4)),VALUE(MID($B$2,6,2)),VALUE(RIGHT($B$2,2)))
+ (VALUE(REGEXEXTRACT(INDIRECT(""A""&amp;ROW()+1),""\d+""))-1)*7
+ INT((COLUMN()-COLUMN($B379))/3)
"),47347)</f>
        <v>47347</v>
      </c>
      <c r="R379" s="81"/>
      <c r="S379" s="82"/>
      <c r="T379" s="77">
        <f ca="1">IFERROR(__xludf.DUMMYFUNCTION("DATE(VALUE(LEFT($B$2,4)),VALUE(MID($B$2,6,2)),VALUE(RIGHT($B$2,2)))
+ (VALUE(REGEXEXTRACT(INDIRECT(""A""&amp;ROW()+1),""\d+""))-1)*7
+ INT((COLUMN()-COLUMN($B379))/3)
"),47348)</f>
        <v>47348</v>
      </c>
      <c r="U379" s="81"/>
      <c r="V379" s="82"/>
      <c r="W379" s="52" t="s">
        <v>20</v>
      </c>
    </row>
    <row r="380" spans="1:23" ht="15.75" customHeight="1">
      <c r="A380" s="47" t="s">
        <v>161</v>
      </c>
      <c r="B380" s="113"/>
      <c r="C380" s="109"/>
      <c r="D380" s="50">
        <f>V378+C380</f>
        <v>-1459</v>
      </c>
      <c r="E380" s="112"/>
      <c r="F380" s="111"/>
      <c r="G380" s="17">
        <f>D390+F380</f>
        <v>-1459</v>
      </c>
      <c r="H380" s="132"/>
      <c r="I380" s="109"/>
      <c r="J380" s="42">
        <f>G390+I380</f>
        <v>-1459</v>
      </c>
      <c r="K380" s="112"/>
      <c r="L380" s="111"/>
      <c r="M380" s="18">
        <f>J390+L380</f>
        <v>-1459</v>
      </c>
      <c r="N380" s="113"/>
      <c r="O380" s="109"/>
      <c r="P380" s="35">
        <f>M390+O380</f>
        <v>-1459</v>
      </c>
      <c r="Q380" s="112"/>
      <c r="R380" s="111"/>
      <c r="S380" s="18">
        <f>P390+R380</f>
        <v>-1459</v>
      </c>
      <c r="T380" s="173"/>
      <c r="U380" s="173"/>
      <c r="V380" s="50">
        <f>S390+U380</f>
        <v>-1459</v>
      </c>
      <c r="W380" s="172"/>
    </row>
    <row r="381" spans="1:23" ht="15.75" customHeight="1">
      <c r="A381" s="114"/>
      <c r="B381" s="118"/>
      <c r="C381" s="117"/>
      <c r="D381" s="45">
        <f t="shared" ref="D381:D390" si="224">D380+C381</f>
        <v>-1459</v>
      </c>
      <c r="E381" s="106"/>
      <c r="F381" s="107"/>
      <c r="G381" s="26">
        <f t="shared" ref="G381:G390" si="225">G380+F381</f>
        <v>-1459</v>
      </c>
      <c r="H381" s="133"/>
      <c r="I381" s="117"/>
      <c r="J381" s="19">
        <f t="shared" ref="J381:J390" si="226">J380+I381</f>
        <v>-1459</v>
      </c>
      <c r="K381" s="106"/>
      <c r="L381" s="107"/>
      <c r="M381" s="26">
        <f t="shared" ref="M381:M390" si="227">M380+L381</f>
        <v>-1459</v>
      </c>
      <c r="N381" s="118"/>
      <c r="O381" s="117"/>
      <c r="P381" s="38">
        <f t="shared" ref="P381:P390" si="228">P380+O381</f>
        <v>-1459</v>
      </c>
      <c r="Q381" s="106"/>
      <c r="R381" s="107"/>
      <c r="S381" s="26">
        <f t="shared" ref="S381:S390" si="229">S380+R381</f>
        <v>-1459</v>
      </c>
      <c r="T381" s="136"/>
      <c r="U381" s="136"/>
      <c r="V381" s="45">
        <f t="shared" ref="V381:V390" si="230">V380+U381</f>
        <v>-1459</v>
      </c>
      <c r="W381" s="143"/>
    </row>
    <row r="382" spans="1:23" ht="15.75" customHeight="1">
      <c r="A382" s="114"/>
      <c r="B382" s="118"/>
      <c r="C382" s="117"/>
      <c r="D382" s="45">
        <f t="shared" si="224"/>
        <v>-1459</v>
      </c>
      <c r="E382" s="106"/>
      <c r="F382" s="107"/>
      <c r="G382" s="26">
        <f t="shared" si="225"/>
        <v>-1459</v>
      </c>
      <c r="H382" s="133"/>
      <c r="I382" s="117"/>
      <c r="J382" s="19">
        <f t="shared" si="226"/>
        <v>-1459</v>
      </c>
      <c r="K382" s="106"/>
      <c r="L382" s="107"/>
      <c r="M382" s="26">
        <f t="shared" si="227"/>
        <v>-1459</v>
      </c>
      <c r="N382" s="117"/>
      <c r="O382" s="117"/>
      <c r="P382" s="38">
        <f t="shared" si="228"/>
        <v>-1459</v>
      </c>
      <c r="Q382" s="106"/>
      <c r="R382" s="107"/>
      <c r="S382" s="26">
        <f t="shared" si="229"/>
        <v>-1459</v>
      </c>
      <c r="T382" s="136"/>
      <c r="U382" s="136"/>
      <c r="V382" s="45">
        <f t="shared" si="230"/>
        <v>-1459</v>
      </c>
      <c r="W382" s="143"/>
    </row>
    <row r="383" spans="1:23" ht="15.75" customHeight="1">
      <c r="A383" s="114"/>
      <c r="B383" s="118"/>
      <c r="C383" s="117"/>
      <c r="D383" s="45">
        <f t="shared" si="224"/>
        <v>-1459</v>
      </c>
      <c r="E383" s="106"/>
      <c r="F383" s="107"/>
      <c r="G383" s="26">
        <f t="shared" si="225"/>
        <v>-1459</v>
      </c>
      <c r="H383" s="117"/>
      <c r="I383" s="117"/>
      <c r="J383" s="19">
        <f t="shared" si="226"/>
        <v>-1459</v>
      </c>
      <c r="K383" s="106"/>
      <c r="L383" s="107"/>
      <c r="M383" s="26">
        <f t="shared" si="227"/>
        <v>-1459</v>
      </c>
      <c r="N383" s="117"/>
      <c r="O383" s="117"/>
      <c r="P383" s="38">
        <f t="shared" si="228"/>
        <v>-1459</v>
      </c>
      <c r="Q383" s="106"/>
      <c r="R383" s="107"/>
      <c r="S383" s="26">
        <f t="shared" si="229"/>
        <v>-1459</v>
      </c>
      <c r="T383" s="136"/>
      <c r="U383" s="136"/>
      <c r="V383" s="45">
        <f t="shared" si="230"/>
        <v>-1459</v>
      </c>
      <c r="W383" s="143"/>
    </row>
    <row r="384" spans="1:23" ht="15.75" customHeight="1">
      <c r="A384" s="114"/>
      <c r="B384" s="118"/>
      <c r="C384" s="117"/>
      <c r="D384" s="45">
        <f t="shared" si="224"/>
        <v>-1459</v>
      </c>
      <c r="E384" s="106"/>
      <c r="F384" s="107"/>
      <c r="G384" s="26">
        <f t="shared" si="225"/>
        <v>-1459</v>
      </c>
      <c r="H384" s="117"/>
      <c r="I384" s="117"/>
      <c r="J384" s="19">
        <f t="shared" si="226"/>
        <v>-1459</v>
      </c>
      <c r="K384" s="106"/>
      <c r="L384" s="107"/>
      <c r="M384" s="26">
        <f t="shared" si="227"/>
        <v>-1459</v>
      </c>
      <c r="N384" s="117"/>
      <c r="O384" s="117"/>
      <c r="P384" s="38">
        <f t="shared" si="228"/>
        <v>-1459</v>
      </c>
      <c r="Q384" s="106"/>
      <c r="R384" s="107"/>
      <c r="S384" s="26">
        <f t="shared" si="229"/>
        <v>-1459</v>
      </c>
      <c r="T384" s="136"/>
      <c r="U384" s="136"/>
      <c r="V384" s="45">
        <f t="shared" si="230"/>
        <v>-1459</v>
      </c>
      <c r="W384" s="143"/>
    </row>
    <row r="385" spans="1:23" ht="15.75" customHeight="1">
      <c r="A385" s="114"/>
      <c r="B385" s="118"/>
      <c r="C385" s="117"/>
      <c r="D385" s="45">
        <f t="shared" si="224"/>
        <v>-1459</v>
      </c>
      <c r="E385" s="106"/>
      <c r="F385" s="107"/>
      <c r="G385" s="26">
        <f t="shared" si="225"/>
        <v>-1459</v>
      </c>
      <c r="H385" s="117"/>
      <c r="I385" s="117"/>
      <c r="J385" s="19">
        <f t="shared" si="226"/>
        <v>-1459</v>
      </c>
      <c r="K385" s="106"/>
      <c r="L385" s="107"/>
      <c r="M385" s="26">
        <f t="shared" si="227"/>
        <v>-1459</v>
      </c>
      <c r="N385" s="117"/>
      <c r="O385" s="117"/>
      <c r="P385" s="38">
        <f t="shared" si="228"/>
        <v>-1459</v>
      </c>
      <c r="Q385" s="106"/>
      <c r="R385" s="107"/>
      <c r="S385" s="26">
        <f t="shared" si="229"/>
        <v>-1459</v>
      </c>
      <c r="T385" s="136"/>
      <c r="U385" s="136"/>
      <c r="V385" s="45">
        <f t="shared" si="230"/>
        <v>-1459</v>
      </c>
      <c r="W385" s="143"/>
    </row>
    <row r="386" spans="1:23" ht="15.75" customHeight="1">
      <c r="A386" s="114"/>
      <c r="B386" s="118"/>
      <c r="C386" s="117"/>
      <c r="D386" s="45">
        <f t="shared" si="224"/>
        <v>-1459</v>
      </c>
      <c r="E386" s="106"/>
      <c r="F386" s="107"/>
      <c r="G386" s="26">
        <f t="shared" si="225"/>
        <v>-1459</v>
      </c>
      <c r="H386" s="117"/>
      <c r="I386" s="117"/>
      <c r="J386" s="19">
        <f t="shared" si="226"/>
        <v>-1459</v>
      </c>
      <c r="K386" s="106"/>
      <c r="L386" s="107"/>
      <c r="M386" s="26">
        <f t="shared" si="227"/>
        <v>-1459</v>
      </c>
      <c r="N386" s="117"/>
      <c r="O386" s="117"/>
      <c r="P386" s="38">
        <f t="shared" si="228"/>
        <v>-1459</v>
      </c>
      <c r="Q386" s="106"/>
      <c r="R386" s="107"/>
      <c r="S386" s="26">
        <f t="shared" si="229"/>
        <v>-1459</v>
      </c>
      <c r="T386" s="136"/>
      <c r="U386" s="136"/>
      <c r="V386" s="45">
        <f t="shared" si="230"/>
        <v>-1459</v>
      </c>
      <c r="W386" s="143"/>
    </row>
    <row r="387" spans="1:23" ht="15.75" customHeight="1">
      <c r="A387" s="114"/>
      <c r="B387" s="117"/>
      <c r="C387" s="117"/>
      <c r="D387" s="45">
        <f t="shared" si="224"/>
        <v>-1459</v>
      </c>
      <c r="E387" s="106"/>
      <c r="F387" s="107"/>
      <c r="G387" s="26">
        <f t="shared" si="225"/>
        <v>-1459</v>
      </c>
      <c r="H387" s="117"/>
      <c r="I387" s="117"/>
      <c r="J387" s="19">
        <f t="shared" si="226"/>
        <v>-1459</v>
      </c>
      <c r="K387" s="106"/>
      <c r="L387" s="107"/>
      <c r="M387" s="26">
        <f t="shared" si="227"/>
        <v>-1459</v>
      </c>
      <c r="N387" s="117"/>
      <c r="O387" s="117"/>
      <c r="P387" s="38">
        <f t="shared" si="228"/>
        <v>-1459</v>
      </c>
      <c r="Q387" s="106"/>
      <c r="R387" s="107"/>
      <c r="S387" s="26">
        <f t="shared" si="229"/>
        <v>-1459</v>
      </c>
      <c r="T387" s="136"/>
      <c r="U387" s="136"/>
      <c r="V387" s="45">
        <f t="shared" si="230"/>
        <v>-1459</v>
      </c>
      <c r="W387" s="143"/>
    </row>
    <row r="388" spans="1:23" ht="15.75" customHeight="1">
      <c r="A388" s="114"/>
      <c r="B388" s="117"/>
      <c r="C388" s="117"/>
      <c r="D388" s="45">
        <f t="shared" si="224"/>
        <v>-1459</v>
      </c>
      <c r="E388" s="106"/>
      <c r="F388" s="107"/>
      <c r="G388" s="26">
        <f t="shared" si="225"/>
        <v>-1459</v>
      </c>
      <c r="H388" s="117"/>
      <c r="I388" s="117"/>
      <c r="J388" s="19">
        <f t="shared" si="226"/>
        <v>-1459</v>
      </c>
      <c r="K388" s="106"/>
      <c r="L388" s="107"/>
      <c r="M388" s="26">
        <f t="shared" si="227"/>
        <v>-1459</v>
      </c>
      <c r="N388" s="117"/>
      <c r="O388" s="117"/>
      <c r="P388" s="38">
        <f t="shared" si="228"/>
        <v>-1459</v>
      </c>
      <c r="Q388" s="106"/>
      <c r="R388" s="107"/>
      <c r="S388" s="26">
        <f t="shared" si="229"/>
        <v>-1459</v>
      </c>
      <c r="T388" s="136"/>
      <c r="U388" s="136"/>
      <c r="V388" s="45">
        <f t="shared" si="230"/>
        <v>-1459</v>
      </c>
      <c r="W388" s="143"/>
    </row>
    <row r="389" spans="1:23" ht="15.75" customHeight="1">
      <c r="A389" s="114"/>
      <c r="B389" s="117"/>
      <c r="C389" s="117"/>
      <c r="D389" s="45">
        <f t="shared" si="224"/>
        <v>-1459</v>
      </c>
      <c r="E389" s="122"/>
      <c r="F389" s="123"/>
      <c r="G389" s="26">
        <f t="shared" si="225"/>
        <v>-1459</v>
      </c>
      <c r="H389" s="133"/>
      <c r="I389" s="117"/>
      <c r="J389" s="19">
        <f t="shared" si="226"/>
        <v>-1459</v>
      </c>
      <c r="K389" s="122"/>
      <c r="L389" s="123"/>
      <c r="M389" s="26">
        <f t="shared" si="227"/>
        <v>-1459</v>
      </c>
      <c r="N389" s="117"/>
      <c r="O389" s="117"/>
      <c r="P389" s="38">
        <f t="shared" si="228"/>
        <v>-1459</v>
      </c>
      <c r="Q389" s="122"/>
      <c r="R389" s="123"/>
      <c r="S389" s="26">
        <f t="shared" si="229"/>
        <v>-1459</v>
      </c>
      <c r="T389" s="136"/>
      <c r="U389" s="136"/>
      <c r="V389" s="45">
        <f t="shared" si="230"/>
        <v>-1459</v>
      </c>
      <c r="W389" s="143"/>
    </row>
    <row r="390" spans="1:23" ht="15.75" customHeight="1">
      <c r="A390" s="114"/>
      <c r="B390" s="128"/>
      <c r="C390" s="128"/>
      <c r="D390" s="46">
        <f t="shared" si="224"/>
        <v>-1459</v>
      </c>
      <c r="E390" s="122"/>
      <c r="F390" s="123"/>
      <c r="G390" s="39">
        <f t="shared" si="225"/>
        <v>-1459</v>
      </c>
      <c r="H390" s="140"/>
      <c r="I390" s="128"/>
      <c r="J390" s="29">
        <f t="shared" si="226"/>
        <v>-1459</v>
      </c>
      <c r="K390" s="122"/>
      <c r="L390" s="123"/>
      <c r="M390" s="39">
        <f t="shared" si="227"/>
        <v>-1459</v>
      </c>
      <c r="N390" s="128"/>
      <c r="O390" s="128"/>
      <c r="P390" s="40">
        <f t="shared" si="228"/>
        <v>-1459</v>
      </c>
      <c r="Q390" s="122"/>
      <c r="R390" s="123"/>
      <c r="S390" s="39">
        <f t="shared" si="229"/>
        <v>-1459</v>
      </c>
      <c r="T390" s="141"/>
      <c r="U390" s="141"/>
      <c r="V390" s="46">
        <f t="shared" si="230"/>
        <v>-1459</v>
      </c>
      <c r="W390" s="143"/>
    </row>
    <row r="391" spans="1:23" ht="15.75" customHeight="1">
      <c r="A391" s="87"/>
      <c r="B391" s="77">
        <f ca="1">IFERROR(__xludf.DUMMYFUNCTION("DATE(VALUE(LEFT($B$2,4)),VALUE(MID($B$2,6,2)),VALUE(RIGHT($B$2,2)))
+ (VALUE(REGEXEXTRACT(INDIRECT(""A""&amp;ROW()+1),""\d+""))-1)*7
+ INT((COLUMN()-COLUMN($B391))/3)
"),47349)</f>
        <v>47349</v>
      </c>
      <c r="C391" s="81"/>
      <c r="D391" s="82"/>
      <c r="E391" s="77">
        <f ca="1">IFERROR(__xludf.DUMMYFUNCTION("DATE(VALUE(LEFT($B$2,4)),VALUE(MID($B$2,6,2)),VALUE(RIGHT($B$2,2)))
+ (VALUE(REGEXEXTRACT(INDIRECT(""A""&amp;ROW()+1),""\d+""))-1)*7
+ INT((COLUMN()-COLUMN($B391))/3)
"),47350)</f>
        <v>47350</v>
      </c>
      <c r="F391" s="81"/>
      <c r="G391" s="82"/>
      <c r="H391" s="77">
        <f ca="1">IFERROR(__xludf.DUMMYFUNCTION("DATE(VALUE(LEFT($B$2,4)),VALUE(MID($B$2,6,2)),VALUE(RIGHT($B$2,2)))
+ (VALUE(REGEXEXTRACT(INDIRECT(""A""&amp;ROW()+1),""\d+""))-1)*7
+ INT((COLUMN()-COLUMN($B391))/3)
"),47351)</f>
        <v>47351</v>
      </c>
      <c r="I391" s="81"/>
      <c r="J391" s="82"/>
      <c r="K391" s="77">
        <f ca="1">IFERROR(__xludf.DUMMYFUNCTION("DATE(VALUE(LEFT($B$2,4)),VALUE(MID($B$2,6,2)),VALUE(RIGHT($B$2,2)))
+ (VALUE(REGEXEXTRACT(INDIRECT(""A""&amp;ROW()+1),""\d+""))-1)*7
+ INT((COLUMN()-COLUMN($B391))/3)
"),47352)</f>
        <v>47352</v>
      </c>
      <c r="L391" s="81"/>
      <c r="M391" s="82"/>
      <c r="N391" s="77">
        <f ca="1">IFERROR(__xludf.DUMMYFUNCTION("DATE(VALUE(LEFT($B$2,4)),VALUE(MID($B$2,6,2)),VALUE(RIGHT($B$2,2)))
+ (VALUE(REGEXEXTRACT(INDIRECT(""A""&amp;ROW()+1),""\d+""))-1)*7
+ INT((COLUMN()-COLUMN($B391))/3)
"),47353)</f>
        <v>47353</v>
      </c>
      <c r="O391" s="81"/>
      <c r="P391" s="82"/>
      <c r="Q391" s="77">
        <f ca="1">IFERROR(__xludf.DUMMYFUNCTION("DATE(VALUE(LEFT($B$2,4)),VALUE(MID($B$2,6,2)),VALUE(RIGHT($B$2,2)))
+ (VALUE(REGEXEXTRACT(INDIRECT(""A""&amp;ROW()+1),""\d+""))-1)*7
+ INT((COLUMN()-COLUMN($B391))/3)
"),47354)</f>
        <v>47354</v>
      </c>
      <c r="R391" s="81"/>
      <c r="S391" s="82"/>
      <c r="T391" s="77">
        <f ca="1">IFERROR(__xludf.DUMMYFUNCTION("DATE(VALUE(LEFT($B$2,4)),VALUE(MID($B$2,6,2)),VALUE(RIGHT($B$2,2)))
+ (VALUE(REGEXEXTRACT(INDIRECT(""A""&amp;ROW()+1),""\d+""))-1)*7
+ INT((COLUMN()-COLUMN($B391))/3)
"),47355)</f>
        <v>47355</v>
      </c>
      <c r="U391" s="81"/>
      <c r="V391" s="82"/>
      <c r="W391" s="143"/>
    </row>
    <row r="392" spans="1:23" ht="15.75" customHeight="1">
      <c r="A392" s="51" t="s">
        <v>162</v>
      </c>
      <c r="B392" s="112"/>
      <c r="C392" s="111"/>
      <c r="D392" s="48">
        <f>V390+C392</f>
        <v>-1459</v>
      </c>
      <c r="E392" s="113"/>
      <c r="F392" s="109"/>
      <c r="G392" s="42">
        <f>D402+F392</f>
        <v>-1459</v>
      </c>
      <c r="H392" s="110"/>
      <c r="I392" s="111"/>
      <c r="J392" s="17">
        <f>G402+I392</f>
        <v>-1459</v>
      </c>
      <c r="K392" s="109"/>
      <c r="L392" s="109"/>
      <c r="M392" s="35">
        <f>J402+L392</f>
        <v>-1459</v>
      </c>
      <c r="N392" s="112"/>
      <c r="O392" s="111"/>
      <c r="P392" s="17">
        <f>M402+O392</f>
        <v>-1459</v>
      </c>
      <c r="Q392" s="109"/>
      <c r="R392" s="109"/>
      <c r="S392" s="35">
        <f>P402+R392</f>
        <v>-1459</v>
      </c>
      <c r="T392" s="112"/>
      <c r="U392" s="111"/>
      <c r="V392" s="48">
        <f>S402+U392</f>
        <v>-1459</v>
      </c>
      <c r="W392" s="143"/>
    </row>
    <row r="393" spans="1:23" ht="15.75" customHeight="1">
      <c r="A393" s="114"/>
      <c r="B393" s="106"/>
      <c r="C393" s="107"/>
      <c r="D393" s="20">
        <f t="shared" ref="D393:D402" si="231">D392+C393</f>
        <v>-1459</v>
      </c>
      <c r="E393" s="118"/>
      <c r="F393" s="117"/>
      <c r="G393" s="19">
        <f t="shared" ref="G393:G402" si="232">G392+F393</f>
        <v>-1459</v>
      </c>
      <c r="H393" s="116"/>
      <c r="I393" s="107"/>
      <c r="J393" s="26">
        <f t="shared" ref="J393:J402" si="233">J392+I393</f>
        <v>-1459</v>
      </c>
      <c r="K393" s="117"/>
      <c r="L393" s="117"/>
      <c r="M393" s="38">
        <f t="shared" ref="M393:M402" si="234">M392+L393</f>
        <v>-1459</v>
      </c>
      <c r="N393" s="106"/>
      <c r="O393" s="107"/>
      <c r="P393" s="26">
        <f t="shared" ref="P393:P402" si="235">P392+O393</f>
        <v>-1459</v>
      </c>
      <c r="Q393" s="117"/>
      <c r="R393" s="117"/>
      <c r="S393" s="38">
        <f t="shared" ref="S393:S402" si="236">S392+R393</f>
        <v>-1459</v>
      </c>
      <c r="T393" s="106"/>
      <c r="U393" s="107"/>
      <c r="V393" s="20">
        <f t="shared" ref="V393:V402" si="237">V392+U393</f>
        <v>-1459</v>
      </c>
      <c r="W393" s="143"/>
    </row>
    <row r="394" spans="1:23" ht="15.75" customHeight="1">
      <c r="A394" s="114"/>
      <c r="B394" s="106"/>
      <c r="C394" s="107"/>
      <c r="D394" s="20">
        <f t="shared" si="231"/>
        <v>-1459</v>
      </c>
      <c r="E394" s="118"/>
      <c r="F394" s="117"/>
      <c r="G394" s="19">
        <f t="shared" si="232"/>
        <v>-1459</v>
      </c>
      <c r="H394" s="116"/>
      <c r="I394" s="107"/>
      <c r="J394" s="26">
        <f t="shared" si="233"/>
        <v>-1459</v>
      </c>
      <c r="K394" s="117"/>
      <c r="L394" s="117"/>
      <c r="M394" s="38">
        <f t="shared" si="234"/>
        <v>-1459</v>
      </c>
      <c r="N394" s="106"/>
      <c r="O394" s="107"/>
      <c r="P394" s="26">
        <f t="shared" si="235"/>
        <v>-1459</v>
      </c>
      <c r="Q394" s="117"/>
      <c r="R394" s="117"/>
      <c r="S394" s="38">
        <f t="shared" si="236"/>
        <v>-1459</v>
      </c>
      <c r="T394" s="106"/>
      <c r="U394" s="116"/>
      <c r="V394" s="20">
        <f t="shared" si="237"/>
        <v>-1459</v>
      </c>
      <c r="W394" s="143"/>
    </row>
    <row r="395" spans="1:23" ht="15.75" customHeight="1">
      <c r="A395" s="114"/>
      <c r="B395" s="106"/>
      <c r="C395" s="107"/>
      <c r="D395" s="20">
        <f t="shared" si="231"/>
        <v>-1459</v>
      </c>
      <c r="E395" s="118"/>
      <c r="F395" s="117"/>
      <c r="G395" s="19">
        <f t="shared" si="232"/>
        <v>-1459</v>
      </c>
      <c r="H395" s="116"/>
      <c r="I395" s="107"/>
      <c r="J395" s="26">
        <f t="shared" si="233"/>
        <v>-1459</v>
      </c>
      <c r="K395" s="117"/>
      <c r="L395" s="117"/>
      <c r="M395" s="38">
        <f t="shared" si="234"/>
        <v>-1459</v>
      </c>
      <c r="N395" s="106"/>
      <c r="O395" s="107"/>
      <c r="P395" s="26">
        <f t="shared" si="235"/>
        <v>-1459</v>
      </c>
      <c r="Q395" s="117"/>
      <c r="R395" s="117"/>
      <c r="S395" s="38">
        <f t="shared" si="236"/>
        <v>-1459</v>
      </c>
      <c r="T395" s="106"/>
      <c r="U395" s="116"/>
      <c r="V395" s="20">
        <f t="shared" si="237"/>
        <v>-1459</v>
      </c>
      <c r="W395" s="143"/>
    </row>
    <row r="396" spans="1:23" ht="15.75" customHeight="1">
      <c r="A396" s="114"/>
      <c r="B396" s="106"/>
      <c r="C396" s="107"/>
      <c r="D396" s="20">
        <f t="shared" si="231"/>
        <v>-1459</v>
      </c>
      <c r="E396" s="118"/>
      <c r="F396" s="117"/>
      <c r="G396" s="19">
        <f t="shared" si="232"/>
        <v>-1459</v>
      </c>
      <c r="H396" s="116"/>
      <c r="I396" s="107"/>
      <c r="J396" s="26">
        <f t="shared" si="233"/>
        <v>-1459</v>
      </c>
      <c r="K396" s="117"/>
      <c r="L396" s="117"/>
      <c r="M396" s="38">
        <f t="shared" si="234"/>
        <v>-1459</v>
      </c>
      <c r="N396" s="106"/>
      <c r="O396" s="107"/>
      <c r="P396" s="26">
        <f t="shared" si="235"/>
        <v>-1459</v>
      </c>
      <c r="Q396" s="117"/>
      <c r="R396" s="117"/>
      <c r="S396" s="38">
        <f t="shared" si="236"/>
        <v>-1459</v>
      </c>
      <c r="T396" s="106"/>
      <c r="U396" s="116"/>
      <c r="V396" s="20">
        <f t="shared" si="237"/>
        <v>-1459</v>
      </c>
      <c r="W396" s="143"/>
    </row>
    <row r="397" spans="1:23" ht="15.75" customHeight="1">
      <c r="A397" s="114"/>
      <c r="B397" s="106"/>
      <c r="C397" s="107"/>
      <c r="D397" s="20">
        <f t="shared" si="231"/>
        <v>-1459</v>
      </c>
      <c r="E397" s="118"/>
      <c r="F397" s="117"/>
      <c r="G397" s="19">
        <f t="shared" si="232"/>
        <v>-1459</v>
      </c>
      <c r="H397" s="116"/>
      <c r="I397" s="107"/>
      <c r="J397" s="26">
        <f t="shared" si="233"/>
        <v>-1459</v>
      </c>
      <c r="K397" s="117"/>
      <c r="L397" s="117"/>
      <c r="M397" s="38">
        <f t="shared" si="234"/>
        <v>-1459</v>
      </c>
      <c r="N397" s="106"/>
      <c r="O397" s="107"/>
      <c r="P397" s="26">
        <f t="shared" si="235"/>
        <v>-1459</v>
      </c>
      <c r="Q397" s="117"/>
      <c r="R397" s="117"/>
      <c r="S397" s="38">
        <f t="shared" si="236"/>
        <v>-1459</v>
      </c>
      <c r="T397" s="106"/>
      <c r="U397" s="116"/>
      <c r="V397" s="20">
        <f t="shared" si="237"/>
        <v>-1459</v>
      </c>
      <c r="W397" s="143"/>
    </row>
    <row r="398" spans="1:23" ht="15.75" customHeight="1">
      <c r="A398" s="114"/>
      <c r="B398" s="106"/>
      <c r="C398" s="107"/>
      <c r="D398" s="20">
        <f t="shared" si="231"/>
        <v>-1459</v>
      </c>
      <c r="E398" s="118"/>
      <c r="F398" s="117"/>
      <c r="G398" s="19">
        <f t="shared" si="232"/>
        <v>-1459</v>
      </c>
      <c r="H398" s="116"/>
      <c r="I398" s="107"/>
      <c r="J398" s="26">
        <f t="shared" si="233"/>
        <v>-1459</v>
      </c>
      <c r="K398" s="117"/>
      <c r="L398" s="117"/>
      <c r="M398" s="38">
        <f t="shared" si="234"/>
        <v>-1459</v>
      </c>
      <c r="N398" s="106"/>
      <c r="O398" s="107"/>
      <c r="P398" s="26">
        <f t="shared" si="235"/>
        <v>-1459</v>
      </c>
      <c r="Q398" s="117"/>
      <c r="R398" s="117"/>
      <c r="S398" s="38">
        <f t="shared" si="236"/>
        <v>-1459</v>
      </c>
      <c r="T398" s="106"/>
      <c r="U398" s="116"/>
      <c r="V398" s="20">
        <f t="shared" si="237"/>
        <v>-1459</v>
      </c>
      <c r="W398" s="143"/>
    </row>
    <row r="399" spans="1:23" ht="15.75" customHeight="1">
      <c r="A399" s="114"/>
      <c r="B399" s="106"/>
      <c r="C399" s="107"/>
      <c r="D399" s="20">
        <f t="shared" si="231"/>
        <v>-1459</v>
      </c>
      <c r="E399" s="118"/>
      <c r="F399" s="117"/>
      <c r="G399" s="19">
        <f t="shared" si="232"/>
        <v>-1459</v>
      </c>
      <c r="H399" s="116"/>
      <c r="I399" s="107"/>
      <c r="J399" s="26">
        <f t="shared" si="233"/>
        <v>-1459</v>
      </c>
      <c r="K399" s="117"/>
      <c r="L399" s="117"/>
      <c r="M399" s="38">
        <f t="shared" si="234"/>
        <v>-1459</v>
      </c>
      <c r="N399" s="106"/>
      <c r="O399" s="107"/>
      <c r="P399" s="26">
        <f t="shared" si="235"/>
        <v>-1459</v>
      </c>
      <c r="Q399" s="117"/>
      <c r="R399" s="117"/>
      <c r="S399" s="38">
        <f t="shared" si="236"/>
        <v>-1459</v>
      </c>
      <c r="T399" s="106"/>
      <c r="U399" s="116"/>
      <c r="V399" s="20">
        <f t="shared" si="237"/>
        <v>-1459</v>
      </c>
      <c r="W399" s="143"/>
    </row>
    <row r="400" spans="1:23" ht="15.75" customHeight="1">
      <c r="A400" s="114"/>
      <c r="B400" s="122"/>
      <c r="C400" s="123"/>
      <c r="D400" s="20">
        <f t="shared" si="231"/>
        <v>-1459</v>
      </c>
      <c r="E400" s="118"/>
      <c r="F400" s="117"/>
      <c r="G400" s="19">
        <f t="shared" si="232"/>
        <v>-1459</v>
      </c>
      <c r="H400" s="124"/>
      <c r="I400" s="123"/>
      <c r="J400" s="26">
        <f t="shared" si="233"/>
        <v>-1459</v>
      </c>
      <c r="K400" s="117"/>
      <c r="L400" s="117"/>
      <c r="M400" s="38">
        <f t="shared" si="234"/>
        <v>-1459</v>
      </c>
      <c r="N400" s="122"/>
      <c r="O400" s="123"/>
      <c r="P400" s="26">
        <f t="shared" si="235"/>
        <v>-1459</v>
      </c>
      <c r="Q400" s="117"/>
      <c r="R400" s="117"/>
      <c r="S400" s="38">
        <f t="shared" si="236"/>
        <v>-1459</v>
      </c>
      <c r="T400" s="106"/>
      <c r="U400" s="116"/>
      <c r="V400" s="20">
        <f t="shared" si="237"/>
        <v>-1459</v>
      </c>
      <c r="W400" s="143"/>
    </row>
    <row r="401" spans="1:23" ht="15.75" customHeight="1">
      <c r="A401" s="114"/>
      <c r="B401" s="122"/>
      <c r="C401" s="123"/>
      <c r="D401" s="20">
        <f t="shared" si="231"/>
        <v>-1459</v>
      </c>
      <c r="E401" s="118"/>
      <c r="F401" s="117"/>
      <c r="G401" s="19">
        <f t="shared" si="232"/>
        <v>-1459</v>
      </c>
      <c r="H401" s="124"/>
      <c r="I401" s="123"/>
      <c r="J401" s="26">
        <f t="shared" si="233"/>
        <v>-1459</v>
      </c>
      <c r="K401" s="117"/>
      <c r="L401" s="117"/>
      <c r="M401" s="38">
        <f t="shared" si="234"/>
        <v>-1459</v>
      </c>
      <c r="N401" s="122"/>
      <c r="O401" s="123"/>
      <c r="P401" s="26">
        <f t="shared" si="235"/>
        <v>-1459</v>
      </c>
      <c r="Q401" s="117"/>
      <c r="R401" s="117"/>
      <c r="S401" s="38">
        <f t="shared" si="236"/>
        <v>-1459</v>
      </c>
      <c r="T401" s="122"/>
      <c r="U401" s="124"/>
      <c r="V401" s="20">
        <f t="shared" si="237"/>
        <v>-1459</v>
      </c>
      <c r="W401" s="143"/>
    </row>
    <row r="402" spans="1:23" ht="15.75" customHeight="1">
      <c r="A402" s="114"/>
      <c r="B402" s="122"/>
      <c r="C402" s="123"/>
      <c r="D402" s="49">
        <f t="shared" si="231"/>
        <v>-1459</v>
      </c>
      <c r="E402" s="154"/>
      <c r="F402" s="128"/>
      <c r="G402" s="29">
        <f t="shared" si="232"/>
        <v>-1459</v>
      </c>
      <c r="H402" s="124"/>
      <c r="I402" s="123"/>
      <c r="J402" s="39">
        <f t="shared" si="233"/>
        <v>-1459</v>
      </c>
      <c r="K402" s="128"/>
      <c r="L402" s="128"/>
      <c r="M402" s="40">
        <f t="shared" si="234"/>
        <v>-1459</v>
      </c>
      <c r="N402" s="122"/>
      <c r="O402" s="123"/>
      <c r="P402" s="39">
        <f t="shared" si="235"/>
        <v>-1459</v>
      </c>
      <c r="Q402" s="128"/>
      <c r="R402" s="128"/>
      <c r="S402" s="40">
        <f t="shared" si="236"/>
        <v>-1459</v>
      </c>
      <c r="T402" s="122"/>
      <c r="U402" s="123"/>
      <c r="V402" s="49">
        <f t="shared" si="237"/>
        <v>-1459</v>
      </c>
      <c r="W402" s="143"/>
    </row>
    <row r="403" spans="1:23" ht="15.75" customHeight="1">
      <c r="A403" s="87"/>
      <c r="B403" s="77">
        <f ca="1">IFERROR(__xludf.DUMMYFUNCTION("DATE(VALUE(LEFT($B$2,4)),VALUE(MID($B$2,6,2)),VALUE(RIGHT($B$2,2)))
+ (VALUE(REGEXEXTRACT(INDIRECT(""A""&amp;ROW()+1),""\d+""))-1)*7
+ INT((COLUMN()-COLUMN($B403))/3)
"),47356)</f>
        <v>47356</v>
      </c>
      <c r="C403" s="81"/>
      <c r="D403" s="82"/>
      <c r="E403" s="77">
        <f ca="1">IFERROR(__xludf.DUMMYFUNCTION("DATE(VALUE(LEFT($B$2,4)),VALUE(MID($B$2,6,2)),VALUE(RIGHT($B$2,2)))
+ (VALUE(REGEXEXTRACT(INDIRECT(""A""&amp;ROW()+1),""\d+""))-1)*7
+ INT((COLUMN()-COLUMN($B403))/3)
"),47357)</f>
        <v>47357</v>
      </c>
      <c r="F403" s="81"/>
      <c r="G403" s="82"/>
      <c r="H403" s="77">
        <f ca="1">IFERROR(__xludf.DUMMYFUNCTION("DATE(VALUE(LEFT($B$2,4)),VALUE(MID($B$2,6,2)),VALUE(RIGHT($B$2,2)))
+ (VALUE(REGEXEXTRACT(INDIRECT(""A""&amp;ROW()+1),""\d+""))-1)*7
+ INT((COLUMN()-COLUMN($B403))/3)
"),47358)</f>
        <v>47358</v>
      </c>
      <c r="I403" s="81"/>
      <c r="J403" s="82"/>
      <c r="K403" s="77">
        <f ca="1">IFERROR(__xludf.DUMMYFUNCTION("DATE(VALUE(LEFT($B$2,4)),VALUE(MID($B$2,6,2)),VALUE(RIGHT($B$2,2)))
+ (VALUE(REGEXEXTRACT(INDIRECT(""A""&amp;ROW()+1),""\d+""))-1)*7
+ INT((COLUMN()-COLUMN($B403))/3)
"),47359)</f>
        <v>47359</v>
      </c>
      <c r="L403" s="81"/>
      <c r="M403" s="82"/>
      <c r="N403" s="77">
        <f ca="1">IFERROR(__xludf.DUMMYFUNCTION("DATE(VALUE(LEFT($B$2,4)),VALUE(MID($B$2,6,2)),VALUE(RIGHT($B$2,2)))
+ (VALUE(REGEXEXTRACT(INDIRECT(""A""&amp;ROW()+1),""\d+""))-1)*7
+ INT((COLUMN()-COLUMN($B403))/3)
"),47360)</f>
        <v>47360</v>
      </c>
      <c r="O403" s="81"/>
      <c r="P403" s="82"/>
      <c r="Q403" s="77">
        <f ca="1">IFERROR(__xludf.DUMMYFUNCTION("DATE(VALUE(LEFT($B$2,4)),VALUE(MID($B$2,6,2)),VALUE(RIGHT($B$2,2)))
+ (VALUE(REGEXEXTRACT(INDIRECT(""A""&amp;ROW()+1),""\d+""))-1)*7
+ INT((COLUMN()-COLUMN($B403))/3)
"),47361)</f>
        <v>47361</v>
      </c>
      <c r="R403" s="81"/>
      <c r="S403" s="82"/>
      <c r="T403" s="77">
        <f ca="1">IFERROR(__xludf.DUMMYFUNCTION("DATE(VALUE(LEFT($B$2,4)),VALUE(MID($B$2,6,2)),VALUE(RIGHT($B$2,2)))
+ (VALUE(REGEXEXTRACT(INDIRECT(""A""&amp;ROW()+1),""\d+""))-1)*7
+ INT((COLUMN()-COLUMN($B403))/3)
"),47362)</f>
        <v>47362</v>
      </c>
      <c r="U403" s="81"/>
      <c r="V403" s="82"/>
      <c r="W403" s="52" t="s">
        <v>20</v>
      </c>
    </row>
    <row r="404" spans="1:23" ht="15.75" customHeight="1">
      <c r="A404" s="47" t="s">
        <v>163</v>
      </c>
      <c r="B404" s="113"/>
      <c r="C404" s="109"/>
      <c r="D404" s="50">
        <f>V402+C404</f>
        <v>-1459</v>
      </c>
      <c r="E404" s="112"/>
      <c r="F404" s="111"/>
      <c r="G404" s="17">
        <f>D414+F404</f>
        <v>-1459</v>
      </c>
      <c r="H404" s="132"/>
      <c r="I404" s="109"/>
      <c r="J404" s="42">
        <f>G414+I404</f>
        <v>-1459</v>
      </c>
      <c r="K404" s="112"/>
      <c r="L404" s="111"/>
      <c r="M404" s="18">
        <f>J414+L404</f>
        <v>-1459</v>
      </c>
      <c r="N404" s="113"/>
      <c r="O404" s="109"/>
      <c r="P404" s="35">
        <f>M414+O404</f>
        <v>-1459</v>
      </c>
      <c r="Q404" s="112"/>
      <c r="R404" s="111"/>
      <c r="S404" s="18">
        <f>P414+R404</f>
        <v>-1459</v>
      </c>
      <c r="T404" s="173"/>
      <c r="U404" s="173"/>
      <c r="V404" s="50">
        <f>S414+U404</f>
        <v>-1459</v>
      </c>
      <c r="W404" s="172"/>
    </row>
    <row r="405" spans="1:23" ht="15.75" customHeight="1">
      <c r="A405" s="114"/>
      <c r="B405" s="118"/>
      <c r="C405" s="117"/>
      <c r="D405" s="45">
        <f t="shared" ref="D405:D414" si="238">D404+C405</f>
        <v>-1459</v>
      </c>
      <c r="E405" s="106"/>
      <c r="F405" s="107"/>
      <c r="G405" s="26">
        <f t="shared" ref="G405:G414" si="239">G404+F405</f>
        <v>-1459</v>
      </c>
      <c r="H405" s="133"/>
      <c r="I405" s="117"/>
      <c r="J405" s="19">
        <f t="shared" ref="J405:J414" si="240">J404+I405</f>
        <v>-1459</v>
      </c>
      <c r="K405" s="106"/>
      <c r="L405" s="107"/>
      <c r="M405" s="26">
        <f t="shared" ref="M405:M414" si="241">M404+L405</f>
        <v>-1459</v>
      </c>
      <c r="N405" s="118"/>
      <c r="O405" s="117"/>
      <c r="P405" s="38">
        <f t="shared" ref="P405:P414" si="242">P404+O405</f>
        <v>-1459</v>
      </c>
      <c r="Q405" s="106"/>
      <c r="R405" s="107"/>
      <c r="S405" s="26">
        <f t="shared" ref="S405:S414" si="243">S404+R405</f>
        <v>-1459</v>
      </c>
      <c r="T405" s="136"/>
      <c r="U405" s="136"/>
      <c r="V405" s="45">
        <f t="shared" ref="V405:V414" si="244">V404+U405</f>
        <v>-1459</v>
      </c>
      <c r="W405" s="143"/>
    </row>
    <row r="406" spans="1:23" ht="15.75" customHeight="1">
      <c r="A406" s="114"/>
      <c r="B406" s="118"/>
      <c r="C406" s="117"/>
      <c r="D406" s="45">
        <f t="shared" si="238"/>
        <v>-1459</v>
      </c>
      <c r="E406" s="106"/>
      <c r="F406" s="107"/>
      <c r="G406" s="26">
        <f t="shared" si="239"/>
        <v>-1459</v>
      </c>
      <c r="H406" s="133"/>
      <c r="I406" s="117"/>
      <c r="J406" s="19">
        <f t="shared" si="240"/>
        <v>-1459</v>
      </c>
      <c r="K406" s="106"/>
      <c r="L406" s="107"/>
      <c r="M406" s="26">
        <f t="shared" si="241"/>
        <v>-1459</v>
      </c>
      <c r="N406" s="117"/>
      <c r="O406" s="117"/>
      <c r="P406" s="38">
        <f t="shared" si="242"/>
        <v>-1459</v>
      </c>
      <c r="Q406" s="106"/>
      <c r="R406" s="107"/>
      <c r="S406" s="26">
        <f t="shared" si="243"/>
        <v>-1459</v>
      </c>
      <c r="T406" s="136"/>
      <c r="U406" s="136"/>
      <c r="V406" s="45">
        <f t="shared" si="244"/>
        <v>-1459</v>
      </c>
      <c r="W406" s="143"/>
    </row>
    <row r="407" spans="1:23" ht="15.75" customHeight="1">
      <c r="A407" s="114"/>
      <c r="B407" s="118"/>
      <c r="C407" s="117"/>
      <c r="D407" s="45">
        <f t="shared" si="238"/>
        <v>-1459</v>
      </c>
      <c r="E407" s="106"/>
      <c r="F407" s="107"/>
      <c r="G407" s="26">
        <f t="shared" si="239"/>
        <v>-1459</v>
      </c>
      <c r="H407" s="133"/>
      <c r="I407" s="117"/>
      <c r="J407" s="19">
        <f t="shared" si="240"/>
        <v>-1459</v>
      </c>
      <c r="K407" s="106"/>
      <c r="L407" s="107"/>
      <c r="M407" s="26">
        <f t="shared" si="241"/>
        <v>-1459</v>
      </c>
      <c r="N407" s="117"/>
      <c r="O407" s="117"/>
      <c r="P407" s="38">
        <f t="shared" si="242"/>
        <v>-1459</v>
      </c>
      <c r="Q407" s="106"/>
      <c r="R407" s="107"/>
      <c r="S407" s="26">
        <f t="shared" si="243"/>
        <v>-1459</v>
      </c>
      <c r="T407" s="136"/>
      <c r="U407" s="136"/>
      <c r="V407" s="45">
        <f t="shared" si="244"/>
        <v>-1459</v>
      </c>
      <c r="W407" s="143"/>
    </row>
    <row r="408" spans="1:23" ht="15.75" customHeight="1">
      <c r="A408" s="114"/>
      <c r="B408" s="118"/>
      <c r="C408" s="117"/>
      <c r="D408" s="45">
        <f t="shared" si="238"/>
        <v>-1459</v>
      </c>
      <c r="E408" s="106"/>
      <c r="F408" s="107"/>
      <c r="G408" s="26">
        <f t="shared" si="239"/>
        <v>-1459</v>
      </c>
      <c r="H408" s="133"/>
      <c r="I408" s="117"/>
      <c r="J408" s="19">
        <f t="shared" si="240"/>
        <v>-1459</v>
      </c>
      <c r="K408" s="106"/>
      <c r="L408" s="107"/>
      <c r="M408" s="26">
        <f t="shared" si="241"/>
        <v>-1459</v>
      </c>
      <c r="N408" s="117"/>
      <c r="O408" s="117"/>
      <c r="P408" s="38">
        <f t="shared" si="242"/>
        <v>-1459</v>
      </c>
      <c r="Q408" s="106"/>
      <c r="R408" s="107"/>
      <c r="S408" s="26">
        <f t="shared" si="243"/>
        <v>-1459</v>
      </c>
      <c r="T408" s="136"/>
      <c r="U408" s="136"/>
      <c r="V408" s="45">
        <f t="shared" si="244"/>
        <v>-1459</v>
      </c>
      <c r="W408" s="143"/>
    </row>
    <row r="409" spans="1:23" ht="15.75" customHeight="1">
      <c r="A409" s="114"/>
      <c r="B409" s="118"/>
      <c r="C409" s="117"/>
      <c r="D409" s="45">
        <f t="shared" si="238"/>
        <v>-1459</v>
      </c>
      <c r="E409" s="106"/>
      <c r="F409" s="107"/>
      <c r="G409" s="26">
        <f t="shared" si="239"/>
        <v>-1459</v>
      </c>
      <c r="H409" s="133"/>
      <c r="I409" s="117"/>
      <c r="J409" s="19">
        <f t="shared" si="240"/>
        <v>-1459</v>
      </c>
      <c r="K409" s="106"/>
      <c r="L409" s="107"/>
      <c r="M409" s="26">
        <f t="shared" si="241"/>
        <v>-1459</v>
      </c>
      <c r="N409" s="117"/>
      <c r="O409" s="117"/>
      <c r="P409" s="38">
        <f t="shared" si="242"/>
        <v>-1459</v>
      </c>
      <c r="Q409" s="106"/>
      <c r="R409" s="107"/>
      <c r="S409" s="26">
        <f t="shared" si="243"/>
        <v>-1459</v>
      </c>
      <c r="T409" s="136"/>
      <c r="U409" s="136"/>
      <c r="V409" s="45">
        <f t="shared" si="244"/>
        <v>-1459</v>
      </c>
      <c r="W409" s="143"/>
    </row>
    <row r="410" spans="1:23" ht="15.75" customHeight="1">
      <c r="A410" s="114"/>
      <c r="B410" s="117"/>
      <c r="C410" s="117"/>
      <c r="D410" s="45">
        <f t="shared" si="238"/>
        <v>-1459</v>
      </c>
      <c r="E410" s="106"/>
      <c r="F410" s="107"/>
      <c r="G410" s="26">
        <f t="shared" si="239"/>
        <v>-1459</v>
      </c>
      <c r="H410" s="133"/>
      <c r="I410" s="117"/>
      <c r="J410" s="19">
        <f t="shared" si="240"/>
        <v>-1459</v>
      </c>
      <c r="K410" s="106"/>
      <c r="L410" s="107"/>
      <c r="M410" s="26">
        <f t="shared" si="241"/>
        <v>-1459</v>
      </c>
      <c r="N410" s="117"/>
      <c r="O410" s="117"/>
      <c r="P410" s="38">
        <f t="shared" si="242"/>
        <v>-1459</v>
      </c>
      <c r="Q410" s="106"/>
      <c r="R410" s="107"/>
      <c r="S410" s="26">
        <f t="shared" si="243"/>
        <v>-1459</v>
      </c>
      <c r="T410" s="136"/>
      <c r="U410" s="136"/>
      <c r="V410" s="45">
        <f t="shared" si="244"/>
        <v>-1459</v>
      </c>
      <c r="W410" s="143"/>
    </row>
    <row r="411" spans="1:23" ht="15.75" customHeight="1">
      <c r="A411" s="114"/>
      <c r="B411" s="117"/>
      <c r="C411" s="117"/>
      <c r="D411" s="45">
        <f t="shared" si="238"/>
        <v>-1459</v>
      </c>
      <c r="E411" s="106"/>
      <c r="F411" s="107"/>
      <c r="G411" s="26">
        <f t="shared" si="239"/>
        <v>-1459</v>
      </c>
      <c r="H411" s="133"/>
      <c r="I411" s="117"/>
      <c r="J411" s="19">
        <f t="shared" si="240"/>
        <v>-1459</v>
      </c>
      <c r="K411" s="106"/>
      <c r="L411" s="107"/>
      <c r="M411" s="26">
        <f t="shared" si="241"/>
        <v>-1459</v>
      </c>
      <c r="N411" s="117"/>
      <c r="O411" s="117"/>
      <c r="P411" s="38">
        <f t="shared" si="242"/>
        <v>-1459</v>
      </c>
      <c r="Q411" s="106"/>
      <c r="R411" s="107"/>
      <c r="S411" s="26">
        <f t="shared" si="243"/>
        <v>-1459</v>
      </c>
      <c r="T411" s="136"/>
      <c r="U411" s="136"/>
      <c r="V411" s="45">
        <f t="shared" si="244"/>
        <v>-1459</v>
      </c>
      <c r="W411" s="143"/>
    </row>
    <row r="412" spans="1:23" ht="15.75" customHeight="1">
      <c r="A412" s="114"/>
      <c r="B412" s="117"/>
      <c r="C412" s="117"/>
      <c r="D412" s="45">
        <f t="shared" si="238"/>
        <v>-1459</v>
      </c>
      <c r="E412" s="106"/>
      <c r="F412" s="107"/>
      <c r="G412" s="26">
        <f t="shared" si="239"/>
        <v>-1459</v>
      </c>
      <c r="H412" s="133"/>
      <c r="I412" s="117"/>
      <c r="J412" s="19">
        <f t="shared" si="240"/>
        <v>-1459</v>
      </c>
      <c r="K412" s="106"/>
      <c r="L412" s="107"/>
      <c r="M412" s="26">
        <f t="shared" si="241"/>
        <v>-1459</v>
      </c>
      <c r="N412" s="117"/>
      <c r="O412" s="117"/>
      <c r="P412" s="38">
        <f t="shared" si="242"/>
        <v>-1459</v>
      </c>
      <c r="Q412" s="106"/>
      <c r="R412" s="107"/>
      <c r="S412" s="26">
        <f t="shared" si="243"/>
        <v>-1459</v>
      </c>
      <c r="T412" s="136"/>
      <c r="U412" s="136"/>
      <c r="V412" s="45">
        <f t="shared" si="244"/>
        <v>-1459</v>
      </c>
      <c r="W412" s="143"/>
    </row>
    <row r="413" spans="1:23" ht="15.75" customHeight="1">
      <c r="A413" s="114"/>
      <c r="B413" s="117"/>
      <c r="C413" s="117"/>
      <c r="D413" s="45">
        <f t="shared" si="238"/>
        <v>-1459</v>
      </c>
      <c r="E413" s="122"/>
      <c r="F413" s="123"/>
      <c r="G413" s="26">
        <f t="shared" si="239"/>
        <v>-1459</v>
      </c>
      <c r="H413" s="133"/>
      <c r="I413" s="117"/>
      <c r="J413" s="19">
        <f t="shared" si="240"/>
        <v>-1459</v>
      </c>
      <c r="K413" s="122"/>
      <c r="L413" s="123"/>
      <c r="M413" s="26">
        <f t="shared" si="241"/>
        <v>-1459</v>
      </c>
      <c r="N413" s="117"/>
      <c r="O413" s="117"/>
      <c r="P413" s="38">
        <f t="shared" si="242"/>
        <v>-1459</v>
      </c>
      <c r="Q413" s="122"/>
      <c r="R413" s="123"/>
      <c r="S413" s="26">
        <f t="shared" si="243"/>
        <v>-1459</v>
      </c>
      <c r="T413" s="136"/>
      <c r="U413" s="136"/>
      <c r="V413" s="45">
        <f t="shared" si="244"/>
        <v>-1459</v>
      </c>
      <c r="W413" s="143"/>
    </row>
    <row r="414" spans="1:23" ht="15.75" customHeight="1">
      <c r="A414" s="114"/>
      <c r="B414" s="128"/>
      <c r="C414" s="128"/>
      <c r="D414" s="46">
        <f t="shared" si="238"/>
        <v>-1459</v>
      </c>
      <c r="E414" s="122"/>
      <c r="F414" s="123"/>
      <c r="G414" s="39">
        <f t="shared" si="239"/>
        <v>-1459</v>
      </c>
      <c r="H414" s="140"/>
      <c r="I414" s="128"/>
      <c r="J414" s="29">
        <f t="shared" si="240"/>
        <v>-1459</v>
      </c>
      <c r="K414" s="122"/>
      <c r="L414" s="123"/>
      <c r="M414" s="39">
        <f t="shared" si="241"/>
        <v>-1459</v>
      </c>
      <c r="N414" s="128"/>
      <c r="O414" s="128"/>
      <c r="P414" s="40">
        <f t="shared" si="242"/>
        <v>-1459</v>
      </c>
      <c r="Q414" s="122"/>
      <c r="R414" s="123"/>
      <c r="S414" s="39">
        <f t="shared" si="243"/>
        <v>-1459</v>
      </c>
      <c r="T414" s="141"/>
      <c r="U414" s="141"/>
      <c r="V414" s="46">
        <f t="shared" si="244"/>
        <v>-1459</v>
      </c>
      <c r="W414" s="143"/>
    </row>
    <row r="415" spans="1:23" ht="15.75" customHeight="1">
      <c r="A415" s="87"/>
      <c r="B415" s="77">
        <f ca="1">IFERROR(__xludf.DUMMYFUNCTION("DATE(VALUE(LEFT($B$2,4)),VALUE(MID($B$2,6,2)),VALUE(RIGHT($B$2,2)))
+ (VALUE(REGEXEXTRACT(INDIRECT(""A""&amp;ROW()+1),""\d+""))-1)*7
+ INT((COLUMN()-COLUMN($B415))/3)
"),47363)</f>
        <v>47363</v>
      </c>
      <c r="C415" s="81"/>
      <c r="D415" s="82"/>
      <c r="E415" s="77">
        <f ca="1">IFERROR(__xludf.DUMMYFUNCTION("DATE(VALUE(LEFT($B$2,4)),VALUE(MID($B$2,6,2)),VALUE(RIGHT($B$2,2)))
+ (VALUE(REGEXEXTRACT(INDIRECT(""A""&amp;ROW()+1),""\d+""))-1)*7
+ INT((COLUMN()-COLUMN($B415))/3)
"),47364)</f>
        <v>47364</v>
      </c>
      <c r="F415" s="81"/>
      <c r="G415" s="82"/>
      <c r="H415" s="77">
        <f ca="1">IFERROR(__xludf.DUMMYFUNCTION("DATE(VALUE(LEFT($B$2,4)),VALUE(MID($B$2,6,2)),VALUE(RIGHT($B$2,2)))
+ (VALUE(REGEXEXTRACT(INDIRECT(""A""&amp;ROW()+1),""\d+""))-1)*7
+ INT((COLUMN()-COLUMN($B415))/3)
"),47365)</f>
        <v>47365</v>
      </c>
      <c r="I415" s="81"/>
      <c r="J415" s="82"/>
      <c r="K415" s="77">
        <f ca="1">IFERROR(__xludf.DUMMYFUNCTION("DATE(VALUE(LEFT($B$2,4)),VALUE(MID($B$2,6,2)),VALUE(RIGHT($B$2,2)))
+ (VALUE(REGEXEXTRACT(INDIRECT(""A""&amp;ROW()+1),""\d+""))-1)*7
+ INT((COLUMN()-COLUMN($B415))/3)
"),47366)</f>
        <v>47366</v>
      </c>
      <c r="L415" s="81"/>
      <c r="M415" s="82"/>
      <c r="N415" s="77">
        <f ca="1">IFERROR(__xludf.DUMMYFUNCTION("DATE(VALUE(LEFT($B$2,4)),VALUE(MID($B$2,6,2)),VALUE(RIGHT($B$2,2)))
+ (VALUE(REGEXEXTRACT(INDIRECT(""A""&amp;ROW()+1),""\d+""))-1)*7
+ INT((COLUMN()-COLUMN($B415))/3)
"),47367)</f>
        <v>47367</v>
      </c>
      <c r="O415" s="81"/>
      <c r="P415" s="82"/>
      <c r="Q415" s="77">
        <f ca="1">IFERROR(__xludf.DUMMYFUNCTION("DATE(VALUE(LEFT($B$2,4)),VALUE(MID($B$2,6,2)),VALUE(RIGHT($B$2,2)))
+ (VALUE(REGEXEXTRACT(INDIRECT(""A""&amp;ROW()+1),""\d+""))-1)*7
+ INT((COLUMN()-COLUMN($B415))/3)
"),47368)</f>
        <v>47368</v>
      </c>
      <c r="R415" s="81"/>
      <c r="S415" s="82"/>
      <c r="T415" s="77">
        <f ca="1">IFERROR(__xludf.DUMMYFUNCTION("DATE(VALUE(LEFT($B$2,4)),VALUE(MID($B$2,6,2)),VALUE(RIGHT($B$2,2)))
+ (VALUE(REGEXEXTRACT(INDIRECT(""A""&amp;ROW()+1),""\d+""))-1)*7
+ INT((COLUMN()-COLUMN($B415))/3)
"),47369)</f>
        <v>47369</v>
      </c>
      <c r="U415" s="81"/>
      <c r="V415" s="82"/>
      <c r="W415" s="143"/>
    </row>
    <row r="416" spans="1:23" ht="15.75" customHeight="1">
      <c r="A416" s="51" t="s">
        <v>164</v>
      </c>
      <c r="B416" s="112"/>
      <c r="C416" s="111"/>
      <c r="D416" s="17">
        <f>V414+C416</f>
        <v>-1459</v>
      </c>
      <c r="E416" s="109"/>
      <c r="F416" s="109"/>
      <c r="G416" s="42">
        <f>D426+F416</f>
        <v>-1459</v>
      </c>
      <c r="H416" s="112"/>
      <c r="I416" s="111"/>
      <c r="J416" s="17">
        <f>G426+I416</f>
        <v>-1459</v>
      </c>
      <c r="K416" s="109"/>
      <c r="L416" s="109"/>
      <c r="M416" s="35">
        <f>J426+L416</f>
        <v>-1459</v>
      </c>
      <c r="N416" s="112"/>
      <c r="O416" s="111"/>
      <c r="P416" s="17">
        <f>M426+O416</f>
        <v>-1459</v>
      </c>
      <c r="Q416" s="109"/>
      <c r="R416" s="109"/>
      <c r="S416" s="35">
        <f>P426+R416</f>
        <v>-1459</v>
      </c>
      <c r="T416" s="112"/>
      <c r="U416" s="111"/>
      <c r="V416" s="48">
        <f>S426+U416</f>
        <v>-1459</v>
      </c>
      <c r="W416" s="143"/>
    </row>
    <row r="417" spans="1:23" ht="15.75" customHeight="1">
      <c r="A417" s="114"/>
      <c r="B417" s="106"/>
      <c r="C417" s="107"/>
      <c r="D417" s="26">
        <f t="shared" ref="D417:D426" si="245">D416+C417</f>
        <v>-1459</v>
      </c>
      <c r="E417" s="117"/>
      <c r="F417" s="117"/>
      <c r="G417" s="19">
        <f t="shared" ref="G417:G426" si="246">G416+F417</f>
        <v>-1459</v>
      </c>
      <c r="H417" s="106"/>
      <c r="I417" s="107"/>
      <c r="J417" s="26">
        <f t="shared" ref="J417:J426" si="247">J416+I417</f>
        <v>-1459</v>
      </c>
      <c r="K417" s="117"/>
      <c r="L417" s="117"/>
      <c r="M417" s="38">
        <f t="shared" ref="M417:M426" si="248">M416+L417</f>
        <v>-1459</v>
      </c>
      <c r="N417" s="106"/>
      <c r="O417" s="107"/>
      <c r="P417" s="26">
        <f t="shared" ref="P417:P426" si="249">P416+O417</f>
        <v>-1459</v>
      </c>
      <c r="Q417" s="117"/>
      <c r="R417" s="117"/>
      <c r="S417" s="38">
        <f t="shared" ref="S417:S426" si="250">S416+R417</f>
        <v>-1459</v>
      </c>
      <c r="T417" s="106"/>
      <c r="U417" s="107"/>
      <c r="V417" s="20">
        <f t="shared" ref="V417:V426" si="251">V416+U417</f>
        <v>-1459</v>
      </c>
      <c r="W417" s="143"/>
    </row>
    <row r="418" spans="1:23" ht="15.75" customHeight="1">
      <c r="A418" s="114"/>
      <c r="B418" s="106"/>
      <c r="C418" s="107"/>
      <c r="D418" s="26">
        <f t="shared" si="245"/>
        <v>-1459</v>
      </c>
      <c r="E418" s="117"/>
      <c r="F418" s="117"/>
      <c r="G418" s="19">
        <f t="shared" si="246"/>
        <v>-1459</v>
      </c>
      <c r="H418" s="106"/>
      <c r="I418" s="107"/>
      <c r="J418" s="26">
        <f t="shared" si="247"/>
        <v>-1459</v>
      </c>
      <c r="K418" s="117"/>
      <c r="L418" s="117"/>
      <c r="M418" s="38">
        <f t="shared" si="248"/>
        <v>-1459</v>
      </c>
      <c r="N418" s="106"/>
      <c r="O418" s="107"/>
      <c r="P418" s="26">
        <f t="shared" si="249"/>
        <v>-1459</v>
      </c>
      <c r="Q418" s="117"/>
      <c r="R418" s="117"/>
      <c r="S418" s="38">
        <f t="shared" si="250"/>
        <v>-1459</v>
      </c>
      <c r="T418" s="106"/>
      <c r="U418" s="116"/>
      <c r="V418" s="20">
        <f t="shared" si="251"/>
        <v>-1459</v>
      </c>
      <c r="W418" s="143"/>
    </row>
    <row r="419" spans="1:23" ht="15.75" customHeight="1">
      <c r="A419" s="114"/>
      <c r="B419" s="106"/>
      <c r="C419" s="107"/>
      <c r="D419" s="26">
        <f t="shared" si="245"/>
        <v>-1459</v>
      </c>
      <c r="E419" s="117"/>
      <c r="F419" s="117"/>
      <c r="G419" s="19">
        <f t="shared" si="246"/>
        <v>-1459</v>
      </c>
      <c r="H419" s="106"/>
      <c r="I419" s="107"/>
      <c r="J419" s="26">
        <f t="shared" si="247"/>
        <v>-1459</v>
      </c>
      <c r="K419" s="117"/>
      <c r="L419" s="117"/>
      <c r="M419" s="38">
        <f t="shared" si="248"/>
        <v>-1459</v>
      </c>
      <c r="N419" s="106"/>
      <c r="O419" s="107"/>
      <c r="P419" s="26">
        <f t="shared" si="249"/>
        <v>-1459</v>
      </c>
      <c r="Q419" s="117"/>
      <c r="R419" s="117"/>
      <c r="S419" s="38">
        <f t="shared" si="250"/>
        <v>-1459</v>
      </c>
      <c r="T419" s="106"/>
      <c r="U419" s="116"/>
      <c r="V419" s="20">
        <f t="shared" si="251"/>
        <v>-1459</v>
      </c>
      <c r="W419" s="143"/>
    </row>
    <row r="420" spans="1:23" ht="15.75" customHeight="1">
      <c r="A420" s="114"/>
      <c r="B420" s="106"/>
      <c r="C420" s="107"/>
      <c r="D420" s="26">
        <f t="shared" si="245"/>
        <v>-1459</v>
      </c>
      <c r="E420" s="117"/>
      <c r="F420" s="117"/>
      <c r="G420" s="19">
        <f t="shared" si="246"/>
        <v>-1459</v>
      </c>
      <c r="H420" s="106"/>
      <c r="I420" s="107"/>
      <c r="J420" s="26">
        <f t="shared" si="247"/>
        <v>-1459</v>
      </c>
      <c r="K420" s="117"/>
      <c r="L420" s="117"/>
      <c r="M420" s="38">
        <f t="shared" si="248"/>
        <v>-1459</v>
      </c>
      <c r="N420" s="106"/>
      <c r="O420" s="107"/>
      <c r="P420" s="26">
        <f t="shared" si="249"/>
        <v>-1459</v>
      </c>
      <c r="Q420" s="117"/>
      <c r="R420" s="117"/>
      <c r="S420" s="38">
        <f t="shared" si="250"/>
        <v>-1459</v>
      </c>
      <c r="T420" s="106"/>
      <c r="U420" s="116"/>
      <c r="V420" s="20">
        <f t="shared" si="251"/>
        <v>-1459</v>
      </c>
      <c r="W420" s="143"/>
    </row>
    <row r="421" spans="1:23" ht="15.75" customHeight="1">
      <c r="A421" s="114"/>
      <c r="B421" s="106"/>
      <c r="C421" s="107"/>
      <c r="D421" s="26">
        <f t="shared" si="245"/>
        <v>-1459</v>
      </c>
      <c r="E421" s="117"/>
      <c r="F421" s="117"/>
      <c r="G421" s="19">
        <f t="shared" si="246"/>
        <v>-1459</v>
      </c>
      <c r="H421" s="106"/>
      <c r="I421" s="107"/>
      <c r="J421" s="26">
        <f t="shared" si="247"/>
        <v>-1459</v>
      </c>
      <c r="K421" s="117"/>
      <c r="L421" s="117"/>
      <c r="M421" s="38">
        <f t="shared" si="248"/>
        <v>-1459</v>
      </c>
      <c r="N421" s="106"/>
      <c r="O421" s="107"/>
      <c r="P421" s="26">
        <f t="shared" si="249"/>
        <v>-1459</v>
      </c>
      <c r="Q421" s="117"/>
      <c r="R421" s="117"/>
      <c r="S421" s="38">
        <f t="shared" si="250"/>
        <v>-1459</v>
      </c>
      <c r="T421" s="106"/>
      <c r="U421" s="116"/>
      <c r="V421" s="20">
        <f t="shared" si="251"/>
        <v>-1459</v>
      </c>
      <c r="W421" s="143"/>
    </row>
    <row r="422" spans="1:23" ht="15.75" customHeight="1">
      <c r="A422" s="114"/>
      <c r="B422" s="106"/>
      <c r="C422" s="107"/>
      <c r="D422" s="26">
        <f t="shared" si="245"/>
        <v>-1459</v>
      </c>
      <c r="E422" s="117"/>
      <c r="F422" s="117"/>
      <c r="G422" s="19">
        <f t="shared" si="246"/>
        <v>-1459</v>
      </c>
      <c r="H422" s="106"/>
      <c r="I422" s="107"/>
      <c r="J422" s="26">
        <f t="shared" si="247"/>
        <v>-1459</v>
      </c>
      <c r="K422" s="117"/>
      <c r="L422" s="117"/>
      <c r="M422" s="38">
        <f t="shared" si="248"/>
        <v>-1459</v>
      </c>
      <c r="N422" s="106"/>
      <c r="O422" s="107"/>
      <c r="P422" s="26">
        <f t="shared" si="249"/>
        <v>-1459</v>
      </c>
      <c r="Q422" s="117"/>
      <c r="R422" s="117"/>
      <c r="S422" s="38">
        <f t="shared" si="250"/>
        <v>-1459</v>
      </c>
      <c r="T422" s="106"/>
      <c r="U422" s="116"/>
      <c r="V422" s="20">
        <f t="shared" si="251"/>
        <v>-1459</v>
      </c>
      <c r="W422" s="143"/>
    </row>
    <row r="423" spans="1:23" ht="15.75" customHeight="1">
      <c r="A423" s="114"/>
      <c r="B423" s="106"/>
      <c r="C423" s="107"/>
      <c r="D423" s="26">
        <f t="shared" si="245"/>
        <v>-1459</v>
      </c>
      <c r="E423" s="117"/>
      <c r="F423" s="117"/>
      <c r="G423" s="19">
        <f t="shared" si="246"/>
        <v>-1459</v>
      </c>
      <c r="H423" s="106"/>
      <c r="I423" s="107"/>
      <c r="J423" s="26">
        <f t="shared" si="247"/>
        <v>-1459</v>
      </c>
      <c r="K423" s="117"/>
      <c r="L423" s="117"/>
      <c r="M423" s="38">
        <f t="shared" si="248"/>
        <v>-1459</v>
      </c>
      <c r="N423" s="106"/>
      <c r="O423" s="107"/>
      <c r="P423" s="26">
        <f t="shared" si="249"/>
        <v>-1459</v>
      </c>
      <c r="Q423" s="117"/>
      <c r="R423" s="117"/>
      <c r="S423" s="38">
        <f t="shared" si="250"/>
        <v>-1459</v>
      </c>
      <c r="T423" s="106"/>
      <c r="U423" s="116"/>
      <c r="V423" s="20">
        <f t="shared" si="251"/>
        <v>-1459</v>
      </c>
      <c r="W423" s="143"/>
    </row>
    <row r="424" spans="1:23" ht="15.75" customHeight="1">
      <c r="A424" s="114"/>
      <c r="B424" s="122"/>
      <c r="C424" s="123"/>
      <c r="D424" s="26">
        <f t="shared" si="245"/>
        <v>-1459</v>
      </c>
      <c r="E424" s="117"/>
      <c r="F424" s="117"/>
      <c r="G424" s="19">
        <f t="shared" si="246"/>
        <v>-1459</v>
      </c>
      <c r="H424" s="122"/>
      <c r="I424" s="123"/>
      <c r="J424" s="26">
        <f t="shared" si="247"/>
        <v>-1459</v>
      </c>
      <c r="K424" s="117"/>
      <c r="L424" s="117"/>
      <c r="M424" s="38">
        <f t="shared" si="248"/>
        <v>-1459</v>
      </c>
      <c r="N424" s="122"/>
      <c r="O424" s="123"/>
      <c r="P424" s="26">
        <f t="shared" si="249"/>
        <v>-1459</v>
      </c>
      <c r="Q424" s="117"/>
      <c r="R424" s="117"/>
      <c r="S424" s="38">
        <f t="shared" si="250"/>
        <v>-1459</v>
      </c>
      <c r="T424" s="106"/>
      <c r="U424" s="116"/>
      <c r="V424" s="20">
        <f t="shared" si="251"/>
        <v>-1459</v>
      </c>
      <c r="W424" s="143"/>
    </row>
    <row r="425" spans="1:23" ht="15.75" customHeight="1">
      <c r="A425" s="114"/>
      <c r="B425" s="122"/>
      <c r="C425" s="123"/>
      <c r="D425" s="26">
        <f t="shared" si="245"/>
        <v>-1459</v>
      </c>
      <c r="E425" s="117"/>
      <c r="F425" s="117"/>
      <c r="G425" s="19">
        <f t="shared" si="246"/>
        <v>-1459</v>
      </c>
      <c r="H425" s="122"/>
      <c r="I425" s="123"/>
      <c r="J425" s="26">
        <f t="shared" si="247"/>
        <v>-1459</v>
      </c>
      <c r="K425" s="117"/>
      <c r="L425" s="117"/>
      <c r="M425" s="38">
        <f t="shared" si="248"/>
        <v>-1459</v>
      </c>
      <c r="N425" s="122"/>
      <c r="O425" s="123"/>
      <c r="P425" s="26">
        <f t="shared" si="249"/>
        <v>-1459</v>
      </c>
      <c r="Q425" s="117"/>
      <c r="R425" s="117"/>
      <c r="S425" s="38">
        <f t="shared" si="250"/>
        <v>-1459</v>
      </c>
      <c r="T425" s="122"/>
      <c r="U425" s="124"/>
      <c r="V425" s="20">
        <f t="shared" si="251"/>
        <v>-1459</v>
      </c>
      <c r="W425" s="143"/>
    </row>
    <row r="426" spans="1:23" ht="15.75" customHeight="1">
      <c r="A426" s="114"/>
      <c r="B426" s="122"/>
      <c r="C426" s="123"/>
      <c r="D426" s="39">
        <f t="shared" si="245"/>
        <v>-1459</v>
      </c>
      <c r="E426" s="128"/>
      <c r="F426" s="128"/>
      <c r="G426" s="29">
        <f t="shared" si="246"/>
        <v>-1459</v>
      </c>
      <c r="H426" s="122"/>
      <c r="I426" s="123"/>
      <c r="J426" s="39">
        <f t="shared" si="247"/>
        <v>-1459</v>
      </c>
      <c r="K426" s="128"/>
      <c r="L426" s="128"/>
      <c r="M426" s="40">
        <f t="shared" si="248"/>
        <v>-1459</v>
      </c>
      <c r="N426" s="122"/>
      <c r="O426" s="123"/>
      <c r="P426" s="39">
        <f t="shared" si="249"/>
        <v>-1459</v>
      </c>
      <c r="Q426" s="128"/>
      <c r="R426" s="128"/>
      <c r="S426" s="40">
        <f t="shared" si="250"/>
        <v>-1459</v>
      </c>
      <c r="T426" s="122"/>
      <c r="U426" s="123"/>
      <c r="V426" s="49">
        <f t="shared" si="251"/>
        <v>-1459</v>
      </c>
      <c r="W426" s="143"/>
    </row>
    <row r="427" spans="1:23" ht="15.75" customHeight="1">
      <c r="A427" s="87"/>
      <c r="B427" s="77">
        <f ca="1">IFERROR(__xludf.DUMMYFUNCTION("DATE(VALUE(LEFT($B$2,4)),VALUE(MID($B$2,6,2)),VALUE(RIGHT($B$2,2)))
+ (VALUE(REGEXEXTRACT(INDIRECT(""A""&amp;ROW()+1),""\d+""))-1)*7
+ INT((COLUMN()-COLUMN($B427))/3)
"),47370)</f>
        <v>47370</v>
      </c>
      <c r="C427" s="81"/>
      <c r="D427" s="82"/>
      <c r="E427" s="77">
        <f ca="1">IFERROR(__xludf.DUMMYFUNCTION("DATE(VALUE(LEFT($B$2,4)),VALUE(MID($B$2,6,2)),VALUE(RIGHT($B$2,2)))
+ (VALUE(REGEXEXTRACT(INDIRECT(""A""&amp;ROW()+1),""\d+""))-1)*7
+ INT((COLUMN()-COLUMN($B427))/3)
"),47371)</f>
        <v>47371</v>
      </c>
      <c r="F427" s="81"/>
      <c r="G427" s="82"/>
      <c r="H427" s="77">
        <f ca="1">IFERROR(__xludf.DUMMYFUNCTION("DATE(VALUE(LEFT($B$2,4)),VALUE(MID($B$2,6,2)),VALUE(RIGHT($B$2,2)))
+ (VALUE(REGEXEXTRACT(INDIRECT(""A""&amp;ROW()+1),""\d+""))-1)*7
+ INT((COLUMN()-COLUMN($B427))/3)
"),47372)</f>
        <v>47372</v>
      </c>
      <c r="I427" s="81"/>
      <c r="J427" s="82"/>
      <c r="K427" s="77">
        <f ca="1">IFERROR(__xludf.DUMMYFUNCTION("DATE(VALUE(LEFT($B$2,4)),VALUE(MID($B$2,6,2)),VALUE(RIGHT($B$2,2)))
+ (VALUE(REGEXEXTRACT(INDIRECT(""A""&amp;ROW()+1),""\d+""))-1)*7
+ INT((COLUMN()-COLUMN($B427))/3)
"),47373)</f>
        <v>47373</v>
      </c>
      <c r="L427" s="81"/>
      <c r="M427" s="82"/>
      <c r="N427" s="77">
        <f ca="1">IFERROR(__xludf.DUMMYFUNCTION("DATE(VALUE(LEFT($B$2,4)),VALUE(MID($B$2,6,2)),VALUE(RIGHT($B$2,2)))
+ (VALUE(REGEXEXTRACT(INDIRECT(""A""&amp;ROW()+1),""\d+""))-1)*7
+ INT((COLUMN()-COLUMN($B427))/3)
"),47374)</f>
        <v>47374</v>
      </c>
      <c r="O427" s="81"/>
      <c r="P427" s="82"/>
      <c r="Q427" s="77">
        <f ca="1">IFERROR(__xludf.DUMMYFUNCTION("DATE(VALUE(LEFT($B$2,4)),VALUE(MID($B$2,6,2)),VALUE(RIGHT($B$2,2)))
+ (VALUE(REGEXEXTRACT(INDIRECT(""A""&amp;ROW()+1),""\d+""))-1)*7
+ INT((COLUMN()-COLUMN($B427))/3)
"),47375)</f>
        <v>47375</v>
      </c>
      <c r="R427" s="81"/>
      <c r="S427" s="82"/>
      <c r="T427" s="77">
        <f ca="1">IFERROR(__xludf.DUMMYFUNCTION("DATE(VALUE(LEFT($B$2,4)),VALUE(MID($B$2,6,2)),VALUE(RIGHT($B$2,2)))
+ (VALUE(REGEXEXTRACT(INDIRECT(""A""&amp;ROW()+1),""\d+""))-1)*7
+ INT((COLUMN()-COLUMN($B427))/3)
"),47376)</f>
        <v>47376</v>
      </c>
      <c r="U427" s="81"/>
      <c r="V427" s="82"/>
      <c r="W427" s="52" t="s">
        <v>20</v>
      </c>
    </row>
    <row r="428" spans="1:23" ht="15.75" customHeight="1">
      <c r="A428" s="47" t="s">
        <v>165</v>
      </c>
      <c r="B428" s="113"/>
      <c r="C428" s="109"/>
      <c r="D428" s="42">
        <f>V426+C428</f>
        <v>-1459</v>
      </c>
      <c r="E428" s="112"/>
      <c r="F428" s="111"/>
      <c r="G428" s="36">
        <f>D438+F428</f>
        <v>-1459</v>
      </c>
      <c r="H428" s="132"/>
      <c r="I428" s="109"/>
      <c r="J428" s="42">
        <f>G438+I428</f>
        <v>-1459</v>
      </c>
      <c r="K428" s="112"/>
      <c r="L428" s="111"/>
      <c r="M428" s="18">
        <f>J438+L428</f>
        <v>-1459</v>
      </c>
      <c r="N428" s="113"/>
      <c r="O428" s="109"/>
      <c r="P428" s="35">
        <f>M438+O428</f>
        <v>-1459</v>
      </c>
      <c r="Q428" s="112"/>
      <c r="R428" s="111"/>
      <c r="S428" s="18">
        <f>P438+R428</f>
        <v>-1459</v>
      </c>
      <c r="T428" s="173"/>
      <c r="U428" s="173"/>
      <c r="V428" s="50">
        <f>S438+U428</f>
        <v>-1459</v>
      </c>
      <c r="W428" s="172"/>
    </row>
    <row r="429" spans="1:23" ht="15.75" customHeight="1">
      <c r="A429" s="114"/>
      <c r="B429" s="118"/>
      <c r="C429" s="117"/>
      <c r="D429" s="19">
        <f t="shared" ref="D429:D438" si="252">D428+C429</f>
        <v>-1459</v>
      </c>
      <c r="E429" s="106"/>
      <c r="F429" s="107"/>
      <c r="G429" s="26">
        <f t="shared" ref="G429:G438" si="253">G428+F429</f>
        <v>-1459</v>
      </c>
      <c r="H429" s="133"/>
      <c r="I429" s="117"/>
      <c r="J429" s="19">
        <f t="shared" ref="J429:J438" si="254">J428+I429</f>
        <v>-1459</v>
      </c>
      <c r="K429" s="106"/>
      <c r="L429" s="107"/>
      <c r="M429" s="26">
        <f t="shared" ref="M429:M438" si="255">M428+L429</f>
        <v>-1459</v>
      </c>
      <c r="N429" s="118"/>
      <c r="O429" s="117"/>
      <c r="P429" s="38">
        <f t="shared" ref="P429:P438" si="256">P428+O429</f>
        <v>-1459</v>
      </c>
      <c r="Q429" s="106"/>
      <c r="R429" s="107"/>
      <c r="S429" s="26">
        <f t="shared" ref="S429:S438" si="257">S428+R429</f>
        <v>-1459</v>
      </c>
      <c r="T429" s="136"/>
      <c r="U429" s="136"/>
      <c r="V429" s="45">
        <f t="shared" ref="V429:V438" si="258">V428+U429</f>
        <v>-1459</v>
      </c>
      <c r="W429" s="143"/>
    </row>
    <row r="430" spans="1:23" ht="15.75" customHeight="1">
      <c r="A430" s="114"/>
      <c r="B430" s="118"/>
      <c r="C430" s="117"/>
      <c r="D430" s="19">
        <f t="shared" si="252"/>
        <v>-1459</v>
      </c>
      <c r="E430" s="106"/>
      <c r="F430" s="107"/>
      <c r="G430" s="26">
        <f t="shared" si="253"/>
        <v>-1459</v>
      </c>
      <c r="H430" s="133"/>
      <c r="I430" s="117"/>
      <c r="J430" s="19">
        <f t="shared" si="254"/>
        <v>-1459</v>
      </c>
      <c r="K430" s="106"/>
      <c r="L430" s="107"/>
      <c r="M430" s="26">
        <f t="shared" si="255"/>
        <v>-1459</v>
      </c>
      <c r="N430" s="117"/>
      <c r="O430" s="117"/>
      <c r="P430" s="38">
        <f t="shared" si="256"/>
        <v>-1459</v>
      </c>
      <c r="Q430" s="106"/>
      <c r="R430" s="107"/>
      <c r="S430" s="26">
        <f t="shared" si="257"/>
        <v>-1459</v>
      </c>
      <c r="T430" s="117"/>
      <c r="U430" s="117"/>
      <c r="V430" s="45">
        <f t="shared" si="258"/>
        <v>-1459</v>
      </c>
      <c r="W430" s="143"/>
    </row>
    <row r="431" spans="1:23" ht="15.75" customHeight="1">
      <c r="A431" s="114"/>
      <c r="B431" s="118"/>
      <c r="C431" s="117"/>
      <c r="D431" s="19">
        <f t="shared" si="252"/>
        <v>-1459</v>
      </c>
      <c r="E431" s="106"/>
      <c r="F431" s="107"/>
      <c r="G431" s="26">
        <f t="shared" si="253"/>
        <v>-1459</v>
      </c>
      <c r="H431" s="133"/>
      <c r="I431" s="117"/>
      <c r="J431" s="19">
        <f t="shared" si="254"/>
        <v>-1459</v>
      </c>
      <c r="K431" s="106"/>
      <c r="L431" s="107"/>
      <c r="M431" s="26">
        <f t="shared" si="255"/>
        <v>-1459</v>
      </c>
      <c r="N431" s="117"/>
      <c r="O431" s="117"/>
      <c r="P431" s="19">
        <f t="shared" si="256"/>
        <v>-1459</v>
      </c>
      <c r="Q431" s="106"/>
      <c r="R431" s="107"/>
      <c r="S431" s="26">
        <f t="shared" si="257"/>
        <v>-1459</v>
      </c>
      <c r="T431" s="136"/>
      <c r="U431" s="136"/>
      <c r="V431" s="45">
        <f t="shared" si="258"/>
        <v>-1459</v>
      </c>
      <c r="W431" s="143"/>
    </row>
    <row r="432" spans="1:23" ht="15.75" customHeight="1">
      <c r="A432" s="114"/>
      <c r="B432" s="118"/>
      <c r="C432" s="117"/>
      <c r="D432" s="19">
        <f t="shared" si="252"/>
        <v>-1459</v>
      </c>
      <c r="E432" s="106"/>
      <c r="F432" s="107"/>
      <c r="G432" s="26">
        <f t="shared" si="253"/>
        <v>-1459</v>
      </c>
      <c r="H432" s="133"/>
      <c r="I432" s="117"/>
      <c r="J432" s="19">
        <f t="shared" si="254"/>
        <v>-1459</v>
      </c>
      <c r="K432" s="106"/>
      <c r="L432" s="107"/>
      <c r="M432" s="26">
        <f t="shared" si="255"/>
        <v>-1459</v>
      </c>
      <c r="N432" s="117"/>
      <c r="O432" s="117"/>
      <c r="P432" s="19">
        <f t="shared" si="256"/>
        <v>-1459</v>
      </c>
      <c r="Q432" s="106"/>
      <c r="R432" s="107"/>
      <c r="S432" s="26">
        <f t="shared" si="257"/>
        <v>-1459</v>
      </c>
      <c r="T432" s="136"/>
      <c r="U432" s="136"/>
      <c r="V432" s="45">
        <f t="shared" si="258"/>
        <v>-1459</v>
      </c>
      <c r="W432" s="143"/>
    </row>
    <row r="433" spans="1:23" ht="15.75" customHeight="1">
      <c r="A433" s="114"/>
      <c r="B433" s="118"/>
      <c r="C433" s="117"/>
      <c r="D433" s="19">
        <f t="shared" si="252"/>
        <v>-1459</v>
      </c>
      <c r="E433" s="106"/>
      <c r="F433" s="107"/>
      <c r="G433" s="26">
        <f t="shared" si="253"/>
        <v>-1459</v>
      </c>
      <c r="H433" s="133"/>
      <c r="I433" s="117"/>
      <c r="J433" s="19">
        <f t="shared" si="254"/>
        <v>-1459</v>
      </c>
      <c r="K433" s="106"/>
      <c r="L433" s="107"/>
      <c r="M433" s="26">
        <f t="shared" si="255"/>
        <v>-1459</v>
      </c>
      <c r="N433" s="117"/>
      <c r="O433" s="117"/>
      <c r="P433" s="19">
        <f t="shared" si="256"/>
        <v>-1459</v>
      </c>
      <c r="Q433" s="106"/>
      <c r="R433" s="107"/>
      <c r="S433" s="26">
        <f t="shared" si="257"/>
        <v>-1459</v>
      </c>
      <c r="T433" s="136"/>
      <c r="U433" s="136"/>
      <c r="V433" s="45">
        <f t="shared" si="258"/>
        <v>-1459</v>
      </c>
      <c r="W433" s="143"/>
    </row>
    <row r="434" spans="1:23" ht="15.75" customHeight="1">
      <c r="A434" s="114"/>
      <c r="B434" s="117"/>
      <c r="C434" s="117"/>
      <c r="D434" s="19">
        <f t="shared" si="252"/>
        <v>-1459</v>
      </c>
      <c r="E434" s="106"/>
      <c r="F434" s="107"/>
      <c r="G434" s="26">
        <f t="shared" si="253"/>
        <v>-1459</v>
      </c>
      <c r="H434" s="133"/>
      <c r="I434" s="117"/>
      <c r="J434" s="19">
        <f t="shared" si="254"/>
        <v>-1459</v>
      </c>
      <c r="K434" s="106"/>
      <c r="L434" s="107"/>
      <c r="M434" s="26">
        <f t="shared" si="255"/>
        <v>-1459</v>
      </c>
      <c r="N434" s="117"/>
      <c r="O434" s="117"/>
      <c r="P434" s="19">
        <f t="shared" si="256"/>
        <v>-1459</v>
      </c>
      <c r="Q434" s="106"/>
      <c r="R434" s="107"/>
      <c r="S434" s="26">
        <f t="shared" si="257"/>
        <v>-1459</v>
      </c>
      <c r="T434" s="136"/>
      <c r="U434" s="136"/>
      <c r="V434" s="45">
        <f t="shared" si="258"/>
        <v>-1459</v>
      </c>
      <c r="W434" s="143"/>
    </row>
    <row r="435" spans="1:23" ht="15.75" customHeight="1">
      <c r="A435" s="114"/>
      <c r="B435" s="117"/>
      <c r="C435" s="117"/>
      <c r="D435" s="19">
        <f t="shared" si="252"/>
        <v>-1459</v>
      </c>
      <c r="E435" s="106"/>
      <c r="F435" s="107"/>
      <c r="G435" s="26">
        <f t="shared" si="253"/>
        <v>-1459</v>
      </c>
      <c r="H435" s="133"/>
      <c r="I435" s="117"/>
      <c r="J435" s="19">
        <f t="shared" si="254"/>
        <v>-1459</v>
      </c>
      <c r="K435" s="106"/>
      <c r="L435" s="107"/>
      <c r="M435" s="26">
        <f t="shared" si="255"/>
        <v>-1459</v>
      </c>
      <c r="N435" s="117"/>
      <c r="O435" s="117"/>
      <c r="P435" s="19">
        <f t="shared" si="256"/>
        <v>-1459</v>
      </c>
      <c r="Q435" s="106"/>
      <c r="R435" s="107"/>
      <c r="S435" s="26">
        <f t="shared" si="257"/>
        <v>-1459</v>
      </c>
      <c r="T435" s="136"/>
      <c r="U435" s="136"/>
      <c r="V435" s="45">
        <f t="shared" si="258"/>
        <v>-1459</v>
      </c>
      <c r="W435" s="143"/>
    </row>
    <row r="436" spans="1:23" ht="15.75" customHeight="1">
      <c r="A436" s="114"/>
      <c r="B436" s="117"/>
      <c r="C436" s="117"/>
      <c r="D436" s="19">
        <f t="shared" si="252"/>
        <v>-1459</v>
      </c>
      <c r="E436" s="106"/>
      <c r="F436" s="107"/>
      <c r="G436" s="26">
        <f t="shared" si="253"/>
        <v>-1459</v>
      </c>
      <c r="H436" s="133"/>
      <c r="I436" s="117"/>
      <c r="J436" s="19">
        <f t="shared" si="254"/>
        <v>-1459</v>
      </c>
      <c r="K436" s="106"/>
      <c r="L436" s="107"/>
      <c r="M436" s="26">
        <f t="shared" si="255"/>
        <v>-1459</v>
      </c>
      <c r="N436" s="117"/>
      <c r="O436" s="117"/>
      <c r="P436" s="19">
        <f t="shared" si="256"/>
        <v>-1459</v>
      </c>
      <c r="Q436" s="106"/>
      <c r="R436" s="107"/>
      <c r="S436" s="26">
        <f t="shared" si="257"/>
        <v>-1459</v>
      </c>
      <c r="T436" s="136"/>
      <c r="U436" s="136"/>
      <c r="V436" s="45">
        <f t="shared" si="258"/>
        <v>-1459</v>
      </c>
      <c r="W436" s="143"/>
    </row>
    <row r="437" spans="1:23" ht="15.75" customHeight="1">
      <c r="A437" s="114"/>
      <c r="B437" s="117"/>
      <c r="C437" s="117"/>
      <c r="D437" s="19">
        <f t="shared" si="252"/>
        <v>-1459</v>
      </c>
      <c r="E437" s="122"/>
      <c r="F437" s="123"/>
      <c r="G437" s="26">
        <f t="shared" si="253"/>
        <v>-1459</v>
      </c>
      <c r="H437" s="133"/>
      <c r="I437" s="117"/>
      <c r="J437" s="19">
        <f t="shared" si="254"/>
        <v>-1459</v>
      </c>
      <c r="K437" s="122"/>
      <c r="L437" s="123"/>
      <c r="M437" s="26">
        <f t="shared" si="255"/>
        <v>-1459</v>
      </c>
      <c r="N437" s="117"/>
      <c r="O437" s="117"/>
      <c r="P437" s="19">
        <f t="shared" si="256"/>
        <v>-1459</v>
      </c>
      <c r="Q437" s="106"/>
      <c r="R437" s="107"/>
      <c r="S437" s="26">
        <f t="shared" si="257"/>
        <v>-1459</v>
      </c>
      <c r="T437" s="136"/>
      <c r="U437" s="136"/>
      <c r="V437" s="45">
        <f t="shared" si="258"/>
        <v>-1459</v>
      </c>
      <c r="W437" s="143"/>
    </row>
    <row r="438" spans="1:23" ht="15.75" customHeight="1">
      <c r="A438" s="114"/>
      <c r="B438" s="128"/>
      <c r="C438" s="128"/>
      <c r="D438" s="29">
        <f t="shared" si="252"/>
        <v>-1459</v>
      </c>
      <c r="E438" s="122"/>
      <c r="F438" s="123"/>
      <c r="G438" s="53">
        <f t="shared" si="253"/>
        <v>-1459</v>
      </c>
      <c r="H438" s="140"/>
      <c r="I438" s="128"/>
      <c r="J438" s="29">
        <f t="shared" si="254"/>
        <v>-1459</v>
      </c>
      <c r="K438" s="122"/>
      <c r="L438" s="123"/>
      <c r="M438" s="39">
        <f t="shared" si="255"/>
        <v>-1459</v>
      </c>
      <c r="N438" s="128"/>
      <c r="O438" s="128"/>
      <c r="P438" s="55">
        <f t="shared" si="256"/>
        <v>-1459</v>
      </c>
      <c r="Q438" s="124"/>
      <c r="R438" s="123"/>
      <c r="S438" s="39">
        <f t="shared" si="257"/>
        <v>-1459</v>
      </c>
      <c r="T438" s="141"/>
      <c r="U438" s="141"/>
      <c r="V438" s="46">
        <f t="shared" si="258"/>
        <v>-1459</v>
      </c>
      <c r="W438" s="143"/>
    </row>
    <row r="439" spans="1:23" ht="15.75" customHeight="1">
      <c r="A439" s="87"/>
      <c r="B439" s="77">
        <f ca="1">IFERROR(__xludf.DUMMYFUNCTION("DATE(VALUE(LEFT($B$2,4)),VALUE(MID($B$2,6,2)),VALUE(RIGHT($B$2,2)))
+ (VALUE(REGEXEXTRACT(INDIRECT(""A""&amp;ROW()+1),""\d+""))-1)*7
+ INT((COLUMN()-COLUMN($B439))/3)
"),47377)</f>
        <v>47377</v>
      </c>
      <c r="C439" s="81"/>
      <c r="D439" s="82"/>
      <c r="E439" s="77">
        <f ca="1">IFERROR(__xludf.DUMMYFUNCTION("DATE(VALUE(LEFT($B$2,4)),VALUE(MID($B$2,6,2)),VALUE(RIGHT($B$2,2)))
+ (VALUE(REGEXEXTRACT(INDIRECT(""A""&amp;ROW()+1),""\d+""))-1)*7
+ INT((COLUMN()-COLUMN($B439))/3)
"),47378)</f>
        <v>47378</v>
      </c>
      <c r="F439" s="81"/>
      <c r="G439" s="82"/>
      <c r="H439" s="77">
        <f ca="1">IFERROR(__xludf.DUMMYFUNCTION("DATE(VALUE(LEFT($B$2,4)),VALUE(MID($B$2,6,2)),VALUE(RIGHT($B$2,2)))
+ (VALUE(REGEXEXTRACT(INDIRECT(""A""&amp;ROW()+1),""\d+""))-1)*7
+ INT((COLUMN()-COLUMN($B439))/3)
"),47379)</f>
        <v>47379</v>
      </c>
      <c r="I439" s="81"/>
      <c r="J439" s="82"/>
      <c r="K439" s="77">
        <f ca="1">IFERROR(__xludf.DUMMYFUNCTION("DATE(VALUE(LEFT($B$2,4)),VALUE(MID($B$2,6,2)),VALUE(RIGHT($B$2,2)))
+ (VALUE(REGEXEXTRACT(INDIRECT(""A""&amp;ROW()+1),""\d+""))-1)*7
+ INT((COLUMN()-COLUMN($B439))/3)
"),47380)</f>
        <v>47380</v>
      </c>
      <c r="L439" s="81"/>
      <c r="M439" s="82"/>
      <c r="N439" s="77">
        <f ca="1">IFERROR(__xludf.DUMMYFUNCTION("DATE(VALUE(LEFT($B$2,4)),VALUE(MID($B$2,6,2)),VALUE(RIGHT($B$2,2)))
+ (VALUE(REGEXEXTRACT(INDIRECT(""A""&amp;ROW()+1),""\d+""))-1)*7
+ INT((COLUMN()-COLUMN($B439))/3)
"),47381)</f>
        <v>47381</v>
      </c>
      <c r="O439" s="81"/>
      <c r="P439" s="82"/>
      <c r="Q439" s="77">
        <f ca="1">IFERROR(__xludf.DUMMYFUNCTION("DATE(VALUE(LEFT($B$2,4)),VALUE(MID($B$2,6,2)),VALUE(RIGHT($B$2,2)))
+ (VALUE(REGEXEXTRACT(INDIRECT(""A""&amp;ROW()+1),""\d+""))-1)*7
+ INT((COLUMN()-COLUMN($B439))/3)
"),47382)</f>
        <v>47382</v>
      </c>
      <c r="R439" s="81"/>
      <c r="S439" s="82"/>
      <c r="T439" s="77">
        <f ca="1">IFERROR(__xludf.DUMMYFUNCTION("DATE(VALUE(LEFT($B$2,4)),VALUE(MID($B$2,6,2)),VALUE(RIGHT($B$2,2)))
+ (VALUE(REGEXEXTRACT(INDIRECT(""A""&amp;ROW()+1),""\d+""))-1)*7
+ INT((COLUMN()-COLUMN($B439))/3)
"),47383)</f>
        <v>47383</v>
      </c>
      <c r="U439" s="81"/>
      <c r="V439" s="82"/>
      <c r="W439" s="143"/>
    </row>
    <row r="440" spans="1:23" ht="15.75" customHeight="1">
      <c r="A440" s="51" t="s">
        <v>166</v>
      </c>
      <c r="B440" s="112"/>
      <c r="C440" s="111"/>
      <c r="D440" s="17">
        <f>V438+C440</f>
        <v>-1459</v>
      </c>
      <c r="E440" s="109"/>
      <c r="F440" s="109"/>
      <c r="G440" s="54">
        <f>D450+F440</f>
        <v>-1459</v>
      </c>
      <c r="H440" s="110"/>
      <c r="I440" s="111"/>
      <c r="J440" s="17">
        <f>G450+I440</f>
        <v>-1459</v>
      </c>
      <c r="K440" s="109"/>
      <c r="L440" s="109"/>
      <c r="M440" s="35">
        <f>J450+L440</f>
        <v>-1459</v>
      </c>
      <c r="N440" s="112"/>
      <c r="O440" s="111"/>
      <c r="P440" s="17">
        <f>M450+O440</f>
        <v>-1459</v>
      </c>
      <c r="Q440" s="109"/>
      <c r="R440" s="109"/>
      <c r="S440" s="35">
        <f>P450+R440</f>
        <v>-1459</v>
      </c>
      <c r="T440" s="112"/>
      <c r="U440" s="111"/>
      <c r="V440" s="48">
        <f>S450+U440</f>
        <v>-1459</v>
      </c>
      <c r="W440" s="143"/>
    </row>
    <row r="441" spans="1:23" ht="15.75" customHeight="1">
      <c r="A441" s="114"/>
      <c r="B441" s="106"/>
      <c r="C441" s="107"/>
      <c r="D441" s="26">
        <f t="shared" ref="D441:D450" si="259">D440+C441</f>
        <v>-1459</v>
      </c>
      <c r="E441" s="117"/>
      <c r="F441" s="117"/>
      <c r="G441" s="19">
        <f t="shared" ref="G441:G450" si="260">G440+F441</f>
        <v>-1459</v>
      </c>
      <c r="H441" s="116"/>
      <c r="I441" s="107"/>
      <c r="J441" s="26">
        <f t="shared" ref="J441:J450" si="261">J440+I441</f>
        <v>-1459</v>
      </c>
      <c r="K441" s="117"/>
      <c r="L441" s="117"/>
      <c r="M441" s="38">
        <f t="shared" ref="M441:M450" si="262">M440+L441</f>
        <v>-1459</v>
      </c>
      <c r="N441" s="106"/>
      <c r="O441" s="107"/>
      <c r="P441" s="26">
        <f t="shared" ref="P441:P450" si="263">P440+O441</f>
        <v>-1459</v>
      </c>
      <c r="Q441" s="117"/>
      <c r="R441" s="117"/>
      <c r="S441" s="38">
        <f t="shared" ref="S441:S450" si="264">S440+R441</f>
        <v>-1459</v>
      </c>
      <c r="T441" s="106"/>
      <c r="U441" s="107"/>
      <c r="V441" s="20">
        <f t="shared" ref="V441:V450" si="265">V440+U441</f>
        <v>-1459</v>
      </c>
      <c r="W441" s="143"/>
    </row>
    <row r="442" spans="1:23" ht="15.75" customHeight="1">
      <c r="A442" s="114"/>
      <c r="B442" s="106"/>
      <c r="C442" s="107"/>
      <c r="D442" s="26">
        <f t="shared" si="259"/>
        <v>-1459</v>
      </c>
      <c r="E442" s="117"/>
      <c r="F442" s="117"/>
      <c r="G442" s="19">
        <f t="shared" si="260"/>
        <v>-1459</v>
      </c>
      <c r="H442" s="116"/>
      <c r="I442" s="107"/>
      <c r="J442" s="26">
        <f t="shared" si="261"/>
        <v>-1459</v>
      </c>
      <c r="K442" s="117"/>
      <c r="L442" s="117"/>
      <c r="M442" s="38">
        <f t="shared" si="262"/>
        <v>-1459</v>
      </c>
      <c r="N442" s="106"/>
      <c r="O442" s="107"/>
      <c r="P442" s="26">
        <f t="shared" si="263"/>
        <v>-1459</v>
      </c>
      <c r="Q442" s="117"/>
      <c r="R442" s="117"/>
      <c r="S442" s="38">
        <f t="shared" si="264"/>
        <v>-1459</v>
      </c>
      <c r="T442" s="106"/>
      <c r="U442" s="116"/>
      <c r="V442" s="20">
        <f t="shared" si="265"/>
        <v>-1459</v>
      </c>
      <c r="W442" s="143"/>
    </row>
    <row r="443" spans="1:23" ht="15.75" customHeight="1">
      <c r="A443" s="114"/>
      <c r="B443" s="106"/>
      <c r="C443" s="107"/>
      <c r="D443" s="26">
        <f t="shared" si="259"/>
        <v>-1459</v>
      </c>
      <c r="E443" s="117"/>
      <c r="F443" s="117"/>
      <c r="G443" s="19">
        <f t="shared" si="260"/>
        <v>-1459</v>
      </c>
      <c r="H443" s="116"/>
      <c r="I443" s="107"/>
      <c r="J443" s="26">
        <f t="shared" si="261"/>
        <v>-1459</v>
      </c>
      <c r="K443" s="117"/>
      <c r="L443" s="117"/>
      <c r="M443" s="38">
        <f t="shared" si="262"/>
        <v>-1459</v>
      </c>
      <c r="N443" s="106"/>
      <c r="O443" s="107"/>
      <c r="P443" s="26">
        <f t="shared" si="263"/>
        <v>-1459</v>
      </c>
      <c r="Q443" s="117"/>
      <c r="R443" s="117"/>
      <c r="S443" s="38">
        <f t="shared" si="264"/>
        <v>-1459</v>
      </c>
      <c r="T443" s="106"/>
      <c r="U443" s="116"/>
      <c r="V443" s="20">
        <f t="shared" si="265"/>
        <v>-1459</v>
      </c>
      <c r="W443" s="143"/>
    </row>
    <row r="444" spans="1:23" ht="15.75" customHeight="1">
      <c r="A444" s="114"/>
      <c r="B444" s="106"/>
      <c r="C444" s="107"/>
      <c r="D444" s="26">
        <f t="shared" si="259"/>
        <v>-1459</v>
      </c>
      <c r="E444" s="117"/>
      <c r="F444" s="117"/>
      <c r="G444" s="19">
        <f t="shared" si="260"/>
        <v>-1459</v>
      </c>
      <c r="H444" s="116"/>
      <c r="I444" s="107"/>
      <c r="J444" s="26">
        <f t="shared" si="261"/>
        <v>-1459</v>
      </c>
      <c r="K444" s="117"/>
      <c r="L444" s="117"/>
      <c r="M444" s="38">
        <f t="shared" si="262"/>
        <v>-1459</v>
      </c>
      <c r="N444" s="106"/>
      <c r="O444" s="107"/>
      <c r="P444" s="26">
        <f t="shared" si="263"/>
        <v>-1459</v>
      </c>
      <c r="Q444" s="117"/>
      <c r="R444" s="117"/>
      <c r="S444" s="38">
        <f t="shared" si="264"/>
        <v>-1459</v>
      </c>
      <c r="T444" s="106"/>
      <c r="U444" s="116"/>
      <c r="V444" s="20">
        <f t="shared" si="265"/>
        <v>-1459</v>
      </c>
      <c r="W444" s="143"/>
    </row>
    <row r="445" spans="1:23" ht="15.75" customHeight="1">
      <c r="A445" s="114"/>
      <c r="B445" s="106"/>
      <c r="C445" s="107"/>
      <c r="D445" s="26">
        <f t="shared" si="259"/>
        <v>-1459</v>
      </c>
      <c r="E445" s="117"/>
      <c r="F445" s="117"/>
      <c r="G445" s="19">
        <f t="shared" si="260"/>
        <v>-1459</v>
      </c>
      <c r="H445" s="116"/>
      <c r="I445" s="107"/>
      <c r="J445" s="26">
        <f t="shared" si="261"/>
        <v>-1459</v>
      </c>
      <c r="K445" s="117"/>
      <c r="L445" s="117"/>
      <c r="M445" s="38">
        <f t="shared" si="262"/>
        <v>-1459</v>
      </c>
      <c r="N445" s="106"/>
      <c r="O445" s="107"/>
      <c r="P445" s="26">
        <f t="shared" si="263"/>
        <v>-1459</v>
      </c>
      <c r="Q445" s="117"/>
      <c r="R445" s="117"/>
      <c r="S445" s="38">
        <f t="shared" si="264"/>
        <v>-1459</v>
      </c>
      <c r="T445" s="106"/>
      <c r="U445" s="116"/>
      <c r="V445" s="20">
        <f t="shared" si="265"/>
        <v>-1459</v>
      </c>
      <c r="W445" s="143"/>
    </row>
    <row r="446" spans="1:23" ht="15.75" customHeight="1">
      <c r="A446" s="114"/>
      <c r="B446" s="106"/>
      <c r="C446" s="107"/>
      <c r="D446" s="26">
        <f t="shared" si="259"/>
        <v>-1459</v>
      </c>
      <c r="E446" s="117"/>
      <c r="F446" s="117"/>
      <c r="G446" s="19">
        <f t="shared" si="260"/>
        <v>-1459</v>
      </c>
      <c r="H446" s="116"/>
      <c r="I446" s="107"/>
      <c r="J446" s="26">
        <f t="shared" si="261"/>
        <v>-1459</v>
      </c>
      <c r="K446" s="117"/>
      <c r="L446" s="117"/>
      <c r="M446" s="38">
        <f t="shared" si="262"/>
        <v>-1459</v>
      </c>
      <c r="N446" s="106"/>
      <c r="O446" s="107"/>
      <c r="P446" s="26">
        <f t="shared" si="263"/>
        <v>-1459</v>
      </c>
      <c r="Q446" s="117"/>
      <c r="R446" s="117"/>
      <c r="S446" s="38">
        <f t="shared" si="264"/>
        <v>-1459</v>
      </c>
      <c r="T446" s="106"/>
      <c r="U446" s="116"/>
      <c r="V446" s="20">
        <f t="shared" si="265"/>
        <v>-1459</v>
      </c>
      <c r="W446" s="143"/>
    </row>
    <row r="447" spans="1:23" ht="15.75" customHeight="1">
      <c r="A447" s="114"/>
      <c r="B447" s="106"/>
      <c r="C447" s="107"/>
      <c r="D447" s="26">
        <f t="shared" si="259"/>
        <v>-1459</v>
      </c>
      <c r="E447" s="117"/>
      <c r="F447" s="117"/>
      <c r="G447" s="19">
        <f t="shared" si="260"/>
        <v>-1459</v>
      </c>
      <c r="H447" s="116"/>
      <c r="I447" s="107"/>
      <c r="J447" s="26">
        <f t="shared" si="261"/>
        <v>-1459</v>
      </c>
      <c r="K447" s="117"/>
      <c r="L447" s="117"/>
      <c r="M447" s="38">
        <f t="shared" si="262"/>
        <v>-1459</v>
      </c>
      <c r="N447" s="106"/>
      <c r="O447" s="107"/>
      <c r="P447" s="26">
        <f t="shared" si="263"/>
        <v>-1459</v>
      </c>
      <c r="Q447" s="117"/>
      <c r="R447" s="117"/>
      <c r="S447" s="38">
        <f t="shared" si="264"/>
        <v>-1459</v>
      </c>
      <c r="T447" s="106"/>
      <c r="U447" s="116"/>
      <c r="V447" s="20">
        <f t="shared" si="265"/>
        <v>-1459</v>
      </c>
      <c r="W447" s="143"/>
    </row>
    <row r="448" spans="1:23" ht="15.75" customHeight="1">
      <c r="A448" s="114"/>
      <c r="B448" s="122"/>
      <c r="C448" s="123"/>
      <c r="D448" s="26">
        <f t="shared" si="259"/>
        <v>-1459</v>
      </c>
      <c r="E448" s="117"/>
      <c r="F448" s="117"/>
      <c r="G448" s="19">
        <f t="shared" si="260"/>
        <v>-1459</v>
      </c>
      <c r="H448" s="124"/>
      <c r="I448" s="123"/>
      <c r="J448" s="26">
        <f t="shared" si="261"/>
        <v>-1459</v>
      </c>
      <c r="K448" s="117"/>
      <c r="L448" s="117"/>
      <c r="M448" s="38">
        <f t="shared" si="262"/>
        <v>-1459</v>
      </c>
      <c r="N448" s="122"/>
      <c r="O448" s="123"/>
      <c r="P448" s="26">
        <f t="shared" si="263"/>
        <v>-1459</v>
      </c>
      <c r="Q448" s="117"/>
      <c r="R448" s="117"/>
      <c r="S448" s="38">
        <f t="shared" si="264"/>
        <v>-1459</v>
      </c>
      <c r="T448" s="106"/>
      <c r="U448" s="116"/>
      <c r="V448" s="20">
        <f t="shared" si="265"/>
        <v>-1459</v>
      </c>
      <c r="W448" s="143"/>
    </row>
    <row r="449" spans="1:23" ht="15.75" customHeight="1">
      <c r="A449" s="114"/>
      <c r="B449" s="122"/>
      <c r="C449" s="123"/>
      <c r="D449" s="26">
        <f t="shared" si="259"/>
        <v>-1459</v>
      </c>
      <c r="E449" s="117"/>
      <c r="F449" s="117"/>
      <c r="G449" s="19">
        <f t="shared" si="260"/>
        <v>-1459</v>
      </c>
      <c r="H449" s="124"/>
      <c r="I449" s="123"/>
      <c r="J449" s="26">
        <f t="shared" si="261"/>
        <v>-1459</v>
      </c>
      <c r="K449" s="117"/>
      <c r="L449" s="117"/>
      <c r="M449" s="38">
        <f t="shared" si="262"/>
        <v>-1459</v>
      </c>
      <c r="N449" s="122"/>
      <c r="O449" s="123"/>
      <c r="P449" s="26">
        <f t="shared" si="263"/>
        <v>-1459</v>
      </c>
      <c r="Q449" s="117"/>
      <c r="R449" s="117"/>
      <c r="S449" s="38">
        <f t="shared" si="264"/>
        <v>-1459</v>
      </c>
      <c r="T449" s="122"/>
      <c r="U449" s="124"/>
      <c r="V449" s="20">
        <f t="shared" si="265"/>
        <v>-1459</v>
      </c>
      <c r="W449" s="143"/>
    </row>
    <row r="450" spans="1:23" ht="15.75" customHeight="1">
      <c r="A450" s="114"/>
      <c r="B450" s="122"/>
      <c r="C450" s="123"/>
      <c r="D450" s="39">
        <f t="shared" si="259"/>
        <v>-1459</v>
      </c>
      <c r="E450" s="128"/>
      <c r="F450" s="128"/>
      <c r="G450" s="55">
        <f t="shared" si="260"/>
        <v>-1459</v>
      </c>
      <c r="H450" s="124"/>
      <c r="I450" s="123"/>
      <c r="J450" s="39">
        <f t="shared" si="261"/>
        <v>-1459</v>
      </c>
      <c r="K450" s="128"/>
      <c r="L450" s="128"/>
      <c r="M450" s="40">
        <f t="shared" si="262"/>
        <v>-1459</v>
      </c>
      <c r="N450" s="122"/>
      <c r="O450" s="123"/>
      <c r="P450" s="39">
        <f t="shared" si="263"/>
        <v>-1459</v>
      </c>
      <c r="Q450" s="128"/>
      <c r="R450" s="128"/>
      <c r="S450" s="40">
        <f t="shared" si="264"/>
        <v>-1459</v>
      </c>
      <c r="T450" s="122"/>
      <c r="U450" s="123"/>
      <c r="V450" s="49">
        <f t="shared" si="265"/>
        <v>-1459</v>
      </c>
      <c r="W450" s="143"/>
    </row>
    <row r="451" spans="1:23" ht="15.75" customHeight="1">
      <c r="A451" s="87"/>
      <c r="B451" s="77">
        <f ca="1">IFERROR(__xludf.DUMMYFUNCTION("DATE(VALUE(LEFT($B$2,4)),VALUE(MID($B$2,6,2)),VALUE(RIGHT($B$2,2)))
+ (VALUE(REGEXEXTRACT(INDIRECT(""A""&amp;ROW()+1),""\d+""))-1)*7
+ INT((COLUMN()-COLUMN($B451))/3)
"),47384)</f>
        <v>47384</v>
      </c>
      <c r="C451" s="81"/>
      <c r="D451" s="82"/>
      <c r="E451" s="77">
        <f ca="1">IFERROR(__xludf.DUMMYFUNCTION("DATE(VALUE(LEFT($B$2,4)),VALUE(MID($B$2,6,2)),VALUE(RIGHT($B$2,2)))
+ (VALUE(REGEXEXTRACT(INDIRECT(""A""&amp;ROW()+1),""\d+""))-1)*7
+ INT((COLUMN()-COLUMN($B451))/3)
"),47385)</f>
        <v>47385</v>
      </c>
      <c r="F451" s="81"/>
      <c r="G451" s="82"/>
      <c r="H451" s="77">
        <f ca="1">IFERROR(__xludf.DUMMYFUNCTION("DATE(VALUE(LEFT($B$2,4)),VALUE(MID($B$2,6,2)),VALUE(RIGHT($B$2,2)))
+ (VALUE(REGEXEXTRACT(INDIRECT(""A""&amp;ROW()+1),""\d+""))-1)*7
+ INT((COLUMN()-COLUMN($B451))/3)
"),47386)</f>
        <v>47386</v>
      </c>
      <c r="I451" s="81"/>
      <c r="J451" s="82"/>
      <c r="K451" s="77">
        <f ca="1">IFERROR(__xludf.DUMMYFUNCTION("DATE(VALUE(LEFT($B$2,4)),VALUE(MID($B$2,6,2)),VALUE(RIGHT($B$2,2)))
+ (VALUE(REGEXEXTRACT(INDIRECT(""A""&amp;ROW()+1),""\d+""))-1)*7
+ INT((COLUMN()-COLUMN($B451))/3)
"),47387)</f>
        <v>47387</v>
      </c>
      <c r="L451" s="81"/>
      <c r="M451" s="82"/>
      <c r="N451" s="77">
        <f ca="1">IFERROR(__xludf.DUMMYFUNCTION("DATE(VALUE(LEFT($B$2,4)),VALUE(MID($B$2,6,2)),VALUE(RIGHT($B$2,2)))
+ (VALUE(REGEXEXTRACT(INDIRECT(""A""&amp;ROW()+1),""\d+""))-1)*7
+ INT((COLUMN()-COLUMN($B451))/3)
"),47388)</f>
        <v>47388</v>
      </c>
      <c r="O451" s="81"/>
      <c r="P451" s="82"/>
      <c r="Q451" s="77">
        <f ca="1">IFERROR(__xludf.DUMMYFUNCTION("DATE(VALUE(LEFT($B$2,4)),VALUE(MID($B$2,6,2)),VALUE(RIGHT($B$2,2)))
+ (VALUE(REGEXEXTRACT(INDIRECT(""A""&amp;ROW()+1),""\d+""))-1)*7
+ INT((COLUMN()-COLUMN($B451))/3)
"),47389)</f>
        <v>47389</v>
      </c>
      <c r="R451" s="81"/>
      <c r="S451" s="82"/>
      <c r="T451" s="77">
        <f ca="1">IFERROR(__xludf.DUMMYFUNCTION("DATE(VALUE(LEFT($B$2,4)),VALUE(MID($B$2,6,2)),VALUE(RIGHT($B$2,2)))
+ (VALUE(REGEXEXTRACT(INDIRECT(""A""&amp;ROW()+1),""\d+""))-1)*7
+ INT((COLUMN()-COLUMN($B451))/3)
"),47390)</f>
        <v>47390</v>
      </c>
      <c r="U451" s="81"/>
      <c r="V451" s="82"/>
      <c r="W451" s="52" t="s">
        <v>20</v>
      </c>
    </row>
    <row r="452" spans="1:23" ht="15.75" customHeight="1">
      <c r="A452" s="47" t="s">
        <v>167</v>
      </c>
      <c r="B452" s="113"/>
      <c r="C452" s="109"/>
      <c r="D452" s="42">
        <f>V450+C452</f>
        <v>-1459</v>
      </c>
      <c r="E452" s="112"/>
      <c r="F452" s="111"/>
      <c r="G452" s="36">
        <f>D462+F452</f>
        <v>-1459</v>
      </c>
      <c r="H452" s="132"/>
      <c r="I452" s="109"/>
      <c r="J452" s="42">
        <f>G462+I452</f>
        <v>-1459</v>
      </c>
      <c r="K452" s="112"/>
      <c r="L452" s="111"/>
      <c r="M452" s="18">
        <f>J462+L452</f>
        <v>-1459</v>
      </c>
      <c r="N452" s="113"/>
      <c r="O452" s="109"/>
      <c r="P452" s="35">
        <f>M462+O452</f>
        <v>-1459</v>
      </c>
      <c r="Q452" s="112"/>
      <c r="R452" s="111"/>
      <c r="S452" s="18">
        <f>P462+R452</f>
        <v>-1459</v>
      </c>
      <c r="T452" s="173"/>
      <c r="U452" s="173"/>
      <c r="V452" s="50">
        <f>S462+U452</f>
        <v>-1459</v>
      </c>
      <c r="W452" s="172"/>
    </row>
    <row r="453" spans="1:23" ht="15.75" customHeight="1">
      <c r="A453" s="114"/>
      <c r="B453" s="118"/>
      <c r="C453" s="117"/>
      <c r="D453" s="19">
        <f t="shared" ref="D453:D462" si="266">D452+C453</f>
        <v>-1459</v>
      </c>
      <c r="E453" s="106"/>
      <c r="F453" s="107"/>
      <c r="G453" s="26">
        <f t="shared" ref="G453:G462" si="267">G452+F453</f>
        <v>-1459</v>
      </c>
      <c r="H453" s="133"/>
      <c r="I453" s="117"/>
      <c r="J453" s="19">
        <f t="shared" ref="J453:J462" si="268">J452+I453</f>
        <v>-1459</v>
      </c>
      <c r="K453" s="106"/>
      <c r="L453" s="107"/>
      <c r="M453" s="26">
        <f t="shared" ref="M453:M462" si="269">M452+L453</f>
        <v>-1459</v>
      </c>
      <c r="N453" s="118"/>
      <c r="O453" s="117"/>
      <c r="P453" s="38">
        <f t="shared" ref="P453:P462" si="270">P452+O453</f>
        <v>-1459</v>
      </c>
      <c r="Q453" s="106"/>
      <c r="R453" s="107"/>
      <c r="S453" s="26">
        <f t="shared" ref="S453:S462" si="271">S452+R453</f>
        <v>-1459</v>
      </c>
      <c r="T453" s="136"/>
      <c r="U453" s="136"/>
      <c r="V453" s="45">
        <f t="shared" ref="V453:V462" si="272">V452+U453</f>
        <v>-1459</v>
      </c>
      <c r="W453" s="143"/>
    </row>
    <row r="454" spans="1:23" ht="15.75" customHeight="1">
      <c r="A454" s="114"/>
      <c r="B454" s="118"/>
      <c r="C454" s="117"/>
      <c r="D454" s="19">
        <f t="shared" si="266"/>
        <v>-1459</v>
      </c>
      <c r="E454" s="106"/>
      <c r="F454" s="107"/>
      <c r="G454" s="26">
        <f t="shared" si="267"/>
        <v>-1459</v>
      </c>
      <c r="H454" s="133"/>
      <c r="I454" s="117"/>
      <c r="J454" s="19">
        <f t="shared" si="268"/>
        <v>-1459</v>
      </c>
      <c r="K454" s="106"/>
      <c r="L454" s="107"/>
      <c r="M454" s="26">
        <f t="shared" si="269"/>
        <v>-1459</v>
      </c>
      <c r="N454" s="117"/>
      <c r="O454" s="117"/>
      <c r="P454" s="38">
        <f t="shared" si="270"/>
        <v>-1459</v>
      </c>
      <c r="Q454" s="106"/>
      <c r="R454" s="107"/>
      <c r="S454" s="26">
        <f t="shared" si="271"/>
        <v>-1459</v>
      </c>
      <c r="T454" s="136"/>
      <c r="U454" s="136"/>
      <c r="V454" s="45">
        <f t="shared" si="272"/>
        <v>-1459</v>
      </c>
      <c r="W454" s="143"/>
    </row>
    <row r="455" spans="1:23" ht="15.75" customHeight="1">
      <c r="A455" s="114"/>
      <c r="B455" s="118"/>
      <c r="C455" s="117"/>
      <c r="D455" s="19">
        <f t="shared" si="266"/>
        <v>-1459</v>
      </c>
      <c r="E455" s="106"/>
      <c r="F455" s="107"/>
      <c r="G455" s="26">
        <f t="shared" si="267"/>
        <v>-1459</v>
      </c>
      <c r="H455" s="133"/>
      <c r="I455" s="117"/>
      <c r="J455" s="19">
        <f t="shared" si="268"/>
        <v>-1459</v>
      </c>
      <c r="K455" s="106"/>
      <c r="L455" s="107"/>
      <c r="M455" s="26">
        <f t="shared" si="269"/>
        <v>-1459</v>
      </c>
      <c r="N455" s="117"/>
      <c r="O455" s="117"/>
      <c r="P455" s="38">
        <f t="shared" si="270"/>
        <v>-1459</v>
      </c>
      <c r="Q455" s="106"/>
      <c r="R455" s="107"/>
      <c r="S455" s="26">
        <f t="shared" si="271"/>
        <v>-1459</v>
      </c>
      <c r="T455" s="136"/>
      <c r="U455" s="136"/>
      <c r="V455" s="45">
        <f t="shared" si="272"/>
        <v>-1459</v>
      </c>
      <c r="W455" s="143"/>
    </row>
    <row r="456" spans="1:23" ht="15.75" customHeight="1">
      <c r="A456" s="114"/>
      <c r="B456" s="118"/>
      <c r="C456" s="117"/>
      <c r="D456" s="19">
        <f t="shared" si="266"/>
        <v>-1459</v>
      </c>
      <c r="E456" s="106"/>
      <c r="F456" s="107"/>
      <c r="G456" s="26">
        <f t="shared" si="267"/>
        <v>-1459</v>
      </c>
      <c r="H456" s="133"/>
      <c r="I456" s="117"/>
      <c r="J456" s="19">
        <f t="shared" si="268"/>
        <v>-1459</v>
      </c>
      <c r="K456" s="106"/>
      <c r="L456" s="107"/>
      <c r="M456" s="26">
        <f t="shared" si="269"/>
        <v>-1459</v>
      </c>
      <c r="N456" s="117"/>
      <c r="O456" s="117"/>
      <c r="P456" s="38">
        <f t="shared" si="270"/>
        <v>-1459</v>
      </c>
      <c r="Q456" s="106"/>
      <c r="R456" s="107"/>
      <c r="S456" s="26">
        <f t="shared" si="271"/>
        <v>-1459</v>
      </c>
      <c r="T456" s="136"/>
      <c r="U456" s="136"/>
      <c r="V456" s="45">
        <f t="shared" si="272"/>
        <v>-1459</v>
      </c>
      <c r="W456" s="143"/>
    </row>
    <row r="457" spans="1:23" ht="15.75" customHeight="1">
      <c r="A457" s="114"/>
      <c r="B457" s="118"/>
      <c r="C457" s="117"/>
      <c r="D457" s="19">
        <f t="shared" si="266"/>
        <v>-1459</v>
      </c>
      <c r="E457" s="106"/>
      <c r="F457" s="107"/>
      <c r="G457" s="26">
        <f t="shared" si="267"/>
        <v>-1459</v>
      </c>
      <c r="H457" s="133"/>
      <c r="I457" s="117"/>
      <c r="J457" s="19">
        <f t="shared" si="268"/>
        <v>-1459</v>
      </c>
      <c r="K457" s="106"/>
      <c r="L457" s="107"/>
      <c r="M457" s="26">
        <f t="shared" si="269"/>
        <v>-1459</v>
      </c>
      <c r="N457" s="117"/>
      <c r="O457" s="117"/>
      <c r="P457" s="38">
        <f t="shared" si="270"/>
        <v>-1459</v>
      </c>
      <c r="Q457" s="106"/>
      <c r="R457" s="107"/>
      <c r="S457" s="26">
        <f t="shared" si="271"/>
        <v>-1459</v>
      </c>
      <c r="T457" s="136"/>
      <c r="U457" s="136"/>
      <c r="V457" s="45">
        <f t="shared" si="272"/>
        <v>-1459</v>
      </c>
      <c r="W457" s="143"/>
    </row>
    <row r="458" spans="1:23" ht="15.75" customHeight="1">
      <c r="A458" s="114"/>
      <c r="B458" s="117"/>
      <c r="C458" s="117"/>
      <c r="D458" s="19">
        <f t="shared" si="266"/>
        <v>-1459</v>
      </c>
      <c r="E458" s="106"/>
      <c r="F458" s="107"/>
      <c r="G458" s="26">
        <f t="shared" si="267"/>
        <v>-1459</v>
      </c>
      <c r="H458" s="133"/>
      <c r="I458" s="117"/>
      <c r="J458" s="19">
        <f t="shared" si="268"/>
        <v>-1459</v>
      </c>
      <c r="K458" s="106"/>
      <c r="L458" s="107"/>
      <c r="M458" s="26">
        <f t="shared" si="269"/>
        <v>-1459</v>
      </c>
      <c r="N458" s="117"/>
      <c r="O458" s="117"/>
      <c r="P458" s="38">
        <f t="shared" si="270"/>
        <v>-1459</v>
      </c>
      <c r="Q458" s="106"/>
      <c r="R458" s="107"/>
      <c r="S458" s="26">
        <f t="shared" si="271"/>
        <v>-1459</v>
      </c>
      <c r="T458" s="136"/>
      <c r="U458" s="136"/>
      <c r="V458" s="45">
        <f t="shared" si="272"/>
        <v>-1459</v>
      </c>
      <c r="W458" s="143"/>
    </row>
    <row r="459" spans="1:23" ht="15.75" customHeight="1">
      <c r="A459" s="114"/>
      <c r="B459" s="117"/>
      <c r="C459" s="117"/>
      <c r="D459" s="19">
        <f t="shared" si="266"/>
        <v>-1459</v>
      </c>
      <c r="E459" s="106"/>
      <c r="F459" s="107"/>
      <c r="G459" s="26">
        <f t="shared" si="267"/>
        <v>-1459</v>
      </c>
      <c r="H459" s="133"/>
      <c r="I459" s="117"/>
      <c r="J459" s="19">
        <f t="shared" si="268"/>
        <v>-1459</v>
      </c>
      <c r="K459" s="106"/>
      <c r="L459" s="107"/>
      <c r="M459" s="26">
        <f t="shared" si="269"/>
        <v>-1459</v>
      </c>
      <c r="N459" s="117"/>
      <c r="O459" s="117"/>
      <c r="P459" s="38">
        <f t="shared" si="270"/>
        <v>-1459</v>
      </c>
      <c r="Q459" s="106"/>
      <c r="R459" s="107"/>
      <c r="S459" s="26">
        <f t="shared" si="271"/>
        <v>-1459</v>
      </c>
      <c r="T459" s="136"/>
      <c r="U459" s="136"/>
      <c r="V459" s="45">
        <f t="shared" si="272"/>
        <v>-1459</v>
      </c>
      <c r="W459" s="143"/>
    </row>
    <row r="460" spans="1:23" ht="15.75" customHeight="1">
      <c r="A460" s="114"/>
      <c r="B460" s="117"/>
      <c r="C460" s="117"/>
      <c r="D460" s="19">
        <f t="shared" si="266"/>
        <v>-1459</v>
      </c>
      <c r="E460" s="106"/>
      <c r="F460" s="107"/>
      <c r="G460" s="26">
        <f t="shared" si="267"/>
        <v>-1459</v>
      </c>
      <c r="H460" s="133"/>
      <c r="I460" s="117"/>
      <c r="J460" s="19">
        <f t="shared" si="268"/>
        <v>-1459</v>
      </c>
      <c r="K460" s="106"/>
      <c r="L460" s="107"/>
      <c r="M460" s="26">
        <f t="shared" si="269"/>
        <v>-1459</v>
      </c>
      <c r="N460" s="117"/>
      <c r="O460" s="117"/>
      <c r="P460" s="38">
        <f t="shared" si="270"/>
        <v>-1459</v>
      </c>
      <c r="Q460" s="106"/>
      <c r="R460" s="107"/>
      <c r="S460" s="26">
        <f t="shared" si="271"/>
        <v>-1459</v>
      </c>
      <c r="T460" s="136"/>
      <c r="U460" s="136"/>
      <c r="V460" s="45">
        <f t="shared" si="272"/>
        <v>-1459</v>
      </c>
      <c r="W460" s="143"/>
    </row>
    <row r="461" spans="1:23" ht="15.75" customHeight="1">
      <c r="A461" s="114"/>
      <c r="B461" s="117"/>
      <c r="C461" s="117"/>
      <c r="D461" s="19">
        <f t="shared" si="266"/>
        <v>-1459</v>
      </c>
      <c r="E461" s="122"/>
      <c r="F461" s="123"/>
      <c r="G461" s="26">
        <f t="shared" si="267"/>
        <v>-1459</v>
      </c>
      <c r="H461" s="133"/>
      <c r="I461" s="117"/>
      <c r="J461" s="19">
        <f t="shared" si="268"/>
        <v>-1459</v>
      </c>
      <c r="K461" s="122"/>
      <c r="L461" s="123"/>
      <c r="M461" s="26">
        <f t="shared" si="269"/>
        <v>-1459</v>
      </c>
      <c r="N461" s="117"/>
      <c r="O461" s="117"/>
      <c r="P461" s="38">
        <f t="shared" si="270"/>
        <v>-1459</v>
      </c>
      <c r="Q461" s="122"/>
      <c r="R461" s="123"/>
      <c r="S461" s="26">
        <f t="shared" si="271"/>
        <v>-1459</v>
      </c>
      <c r="T461" s="136"/>
      <c r="U461" s="136"/>
      <c r="V461" s="45">
        <f t="shared" si="272"/>
        <v>-1459</v>
      </c>
      <c r="W461" s="143"/>
    </row>
    <row r="462" spans="1:23" ht="15.75" customHeight="1">
      <c r="A462" s="114"/>
      <c r="B462" s="128"/>
      <c r="C462" s="128"/>
      <c r="D462" s="29">
        <f t="shared" si="266"/>
        <v>-1459</v>
      </c>
      <c r="E462" s="122"/>
      <c r="F462" s="123"/>
      <c r="G462" s="53">
        <f t="shared" si="267"/>
        <v>-1459</v>
      </c>
      <c r="H462" s="140"/>
      <c r="I462" s="128"/>
      <c r="J462" s="29">
        <f t="shared" si="268"/>
        <v>-1459</v>
      </c>
      <c r="K462" s="122"/>
      <c r="L462" s="123"/>
      <c r="M462" s="39">
        <f t="shared" si="269"/>
        <v>-1459</v>
      </c>
      <c r="N462" s="128"/>
      <c r="O462" s="128"/>
      <c r="P462" s="40">
        <f t="shared" si="270"/>
        <v>-1459</v>
      </c>
      <c r="Q462" s="122"/>
      <c r="R462" s="123"/>
      <c r="S462" s="39">
        <f t="shared" si="271"/>
        <v>-1459</v>
      </c>
      <c r="T462" s="141"/>
      <c r="U462" s="141"/>
      <c r="V462" s="46">
        <f t="shared" si="272"/>
        <v>-1459</v>
      </c>
      <c r="W462" s="143"/>
    </row>
    <row r="463" spans="1:23" ht="15.75" customHeight="1">
      <c r="A463" s="87"/>
      <c r="B463" s="77">
        <f ca="1">IFERROR(__xludf.DUMMYFUNCTION("DATE(VALUE(LEFT($B$2,4)),VALUE(MID($B$2,6,2)),VALUE(RIGHT($B$2,2)))
+ (VALUE(REGEXEXTRACT(INDIRECT(""A""&amp;ROW()+1),""\d+""))-1)*7
+ INT((COLUMN()-COLUMN($B463))/3)
"),47391)</f>
        <v>47391</v>
      </c>
      <c r="C463" s="81"/>
      <c r="D463" s="82"/>
      <c r="E463" s="77">
        <f ca="1">IFERROR(__xludf.DUMMYFUNCTION("DATE(VALUE(LEFT($B$2,4)),VALUE(MID($B$2,6,2)),VALUE(RIGHT($B$2,2)))
+ (VALUE(REGEXEXTRACT(INDIRECT(""A""&amp;ROW()+1),""\d+""))-1)*7
+ INT((COLUMN()-COLUMN($B463))/3)
"),47392)</f>
        <v>47392</v>
      </c>
      <c r="F463" s="81"/>
      <c r="G463" s="82"/>
      <c r="H463" s="77">
        <f ca="1">IFERROR(__xludf.DUMMYFUNCTION("DATE(VALUE(LEFT($B$2,4)),VALUE(MID($B$2,6,2)),VALUE(RIGHT($B$2,2)))
+ (VALUE(REGEXEXTRACT(INDIRECT(""A""&amp;ROW()+1),""\d+""))-1)*7
+ INT((COLUMN()-COLUMN($B463))/3)
"),47393)</f>
        <v>47393</v>
      </c>
      <c r="I463" s="81"/>
      <c r="J463" s="82"/>
      <c r="K463" s="77">
        <f ca="1">IFERROR(__xludf.DUMMYFUNCTION("DATE(VALUE(LEFT($B$2,4)),VALUE(MID($B$2,6,2)),VALUE(RIGHT($B$2,2)))
+ (VALUE(REGEXEXTRACT(INDIRECT(""A""&amp;ROW()+1),""\d+""))-1)*7
+ INT((COLUMN()-COLUMN($B463))/3)
"),47394)</f>
        <v>47394</v>
      </c>
      <c r="L463" s="81"/>
      <c r="M463" s="82"/>
      <c r="N463" s="77">
        <f ca="1">IFERROR(__xludf.DUMMYFUNCTION("DATE(VALUE(LEFT($B$2,4)),VALUE(MID($B$2,6,2)),VALUE(RIGHT($B$2,2)))
+ (VALUE(REGEXEXTRACT(INDIRECT(""A""&amp;ROW()+1),""\d+""))-1)*7
+ INT((COLUMN()-COLUMN($B463))/3)
"),47395)</f>
        <v>47395</v>
      </c>
      <c r="O463" s="81"/>
      <c r="P463" s="82"/>
      <c r="Q463" s="77">
        <f ca="1">IFERROR(__xludf.DUMMYFUNCTION("DATE(VALUE(LEFT($B$2,4)),VALUE(MID($B$2,6,2)),VALUE(RIGHT($B$2,2)))
+ (VALUE(REGEXEXTRACT(INDIRECT(""A""&amp;ROW()+1),""\d+""))-1)*7
+ INT((COLUMN()-COLUMN($B463))/3)
"),47396)</f>
        <v>47396</v>
      </c>
      <c r="R463" s="81"/>
      <c r="S463" s="82"/>
      <c r="T463" s="77">
        <f ca="1">IFERROR(__xludf.DUMMYFUNCTION("DATE(VALUE(LEFT($B$2,4)),VALUE(MID($B$2,6,2)),VALUE(RIGHT($B$2,2)))
+ (VALUE(REGEXEXTRACT(INDIRECT(""A""&amp;ROW()+1),""\d+""))-1)*7
+ INT((COLUMN()-COLUMN($B463))/3)
"),47397)</f>
        <v>47397</v>
      </c>
      <c r="U463" s="81"/>
      <c r="V463" s="82"/>
      <c r="W463" s="143"/>
    </row>
    <row r="464" spans="1:23" ht="15.75" customHeight="1">
      <c r="A464" s="51" t="s">
        <v>168</v>
      </c>
      <c r="B464" s="112"/>
      <c r="C464" s="111"/>
      <c r="D464" s="17">
        <f>V462+C464</f>
        <v>-1459</v>
      </c>
      <c r="E464" s="109"/>
      <c r="F464" s="109"/>
      <c r="G464" s="54">
        <f>D474+F464</f>
        <v>-1459</v>
      </c>
      <c r="H464" s="110"/>
      <c r="I464" s="111"/>
      <c r="J464" s="17">
        <f>G474+I464</f>
        <v>-1459</v>
      </c>
      <c r="K464" s="109"/>
      <c r="L464" s="109"/>
      <c r="M464" s="54">
        <f>J474+L464</f>
        <v>-1459</v>
      </c>
      <c r="N464" s="112"/>
      <c r="O464" s="111"/>
      <c r="P464" s="17">
        <f>M474+O464</f>
        <v>-1459</v>
      </c>
      <c r="Q464" s="109"/>
      <c r="R464" s="109"/>
      <c r="S464" s="35">
        <f>P474+R464</f>
        <v>-1459</v>
      </c>
      <c r="T464" s="112"/>
      <c r="U464" s="111"/>
      <c r="V464" s="48">
        <f>S474+U464</f>
        <v>-1459</v>
      </c>
      <c r="W464" s="143"/>
    </row>
    <row r="465" spans="1:23" ht="15.75" customHeight="1">
      <c r="A465" s="114"/>
      <c r="B465" s="106"/>
      <c r="C465" s="107"/>
      <c r="D465" s="26">
        <f t="shared" ref="D465:D474" si="273">D464+C465</f>
        <v>-1459</v>
      </c>
      <c r="E465" s="117"/>
      <c r="F465" s="117"/>
      <c r="G465" s="19">
        <f t="shared" ref="G465:G474" si="274">G464+F465</f>
        <v>-1459</v>
      </c>
      <c r="H465" s="116"/>
      <c r="I465" s="107"/>
      <c r="J465" s="26">
        <f t="shared" ref="J465:J474" si="275">J464+I465</f>
        <v>-1459</v>
      </c>
      <c r="K465" s="117"/>
      <c r="L465" s="117"/>
      <c r="M465" s="19">
        <f t="shared" ref="M465:M474" si="276">M464+L465</f>
        <v>-1459</v>
      </c>
      <c r="N465" s="106"/>
      <c r="O465" s="107"/>
      <c r="P465" s="26">
        <f t="shared" ref="P465:P474" si="277">P464+O465</f>
        <v>-1459</v>
      </c>
      <c r="Q465" s="117"/>
      <c r="R465" s="117"/>
      <c r="S465" s="38">
        <f t="shared" ref="S465:S474" si="278">S464+R465</f>
        <v>-1459</v>
      </c>
      <c r="T465" s="106"/>
      <c r="U465" s="107"/>
      <c r="V465" s="20">
        <f t="shared" ref="V465:V474" si="279">V464+U465</f>
        <v>-1459</v>
      </c>
      <c r="W465" s="143"/>
    </row>
    <row r="466" spans="1:23" ht="15.75" customHeight="1">
      <c r="A466" s="114"/>
      <c r="B466" s="106"/>
      <c r="C466" s="107"/>
      <c r="D466" s="26">
        <f t="shared" si="273"/>
        <v>-1459</v>
      </c>
      <c r="E466" s="117"/>
      <c r="F466" s="117"/>
      <c r="G466" s="19">
        <f t="shared" si="274"/>
        <v>-1459</v>
      </c>
      <c r="H466" s="116"/>
      <c r="I466" s="107"/>
      <c r="J466" s="26">
        <f t="shared" si="275"/>
        <v>-1459</v>
      </c>
      <c r="K466" s="117"/>
      <c r="L466" s="117"/>
      <c r="M466" s="19">
        <f t="shared" si="276"/>
        <v>-1459</v>
      </c>
      <c r="N466" s="106"/>
      <c r="O466" s="107"/>
      <c r="P466" s="26">
        <f t="shared" si="277"/>
        <v>-1459</v>
      </c>
      <c r="Q466" s="117"/>
      <c r="R466" s="117"/>
      <c r="S466" s="38">
        <f t="shared" si="278"/>
        <v>-1459</v>
      </c>
      <c r="T466" s="106"/>
      <c r="U466" s="116"/>
      <c r="V466" s="20">
        <f t="shared" si="279"/>
        <v>-1459</v>
      </c>
      <c r="W466" s="143"/>
    </row>
    <row r="467" spans="1:23" ht="15.75" customHeight="1">
      <c r="A467" s="114"/>
      <c r="B467" s="106"/>
      <c r="C467" s="107"/>
      <c r="D467" s="26">
        <f t="shared" si="273"/>
        <v>-1459</v>
      </c>
      <c r="E467" s="117"/>
      <c r="F467" s="117"/>
      <c r="G467" s="19">
        <f t="shared" si="274"/>
        <v>-1459</v>
      </c>
      <c r="H467" s="116"/>
      <c r="I467" s="107"/>
      <c r="J467" s="26">
        <f t="shared" si="275"/>
        <v>-1459</v>
      </c>
      <c r="K467" s="117"/>
      <c r="L467" s="117"/>
      <c r="M467" s="19">
        <f t="shared" si="276"/>
        <v>-1459</v>
      </c>
      <c r="N467" s="106"/>
      <c r="O467" s="107"/>
      <c r="P467" s="26">
        <f t="shared" si="277"/>
        <v>-1459</v>
      </c>
      <c r="Q467" s="117"/>
      <c r="R467" s="117"/>
      <c r="S467" s="38">
        <f t="shared" si="278"/>
        <v>-1459</v>
      </c>
      <c r="T467" s="106"/>
      <c r="U467" s="116"/>
      <c r="V467" s="20">
        <f t="shared" si="279"/>
        <v>-1459</v>
      </c>
      <c r="W467" s="143"/>
    </row>
    <row r="468" spans="1:23" ht="15.75" customHeight="1">
      <c r="A468" s="114"/>
      <c r="B468" s="106"/>
      <c r="C468" s="107"/>
      <c r="D468" s="26">
        <f t="shared" si="273"/>
        <v>-1459</v>
      </c>
      <c r="E468" s="117"/>
      <c r="F468" s="117"/>
      <c r="G468" s="19">
        <f t="shared" si="274"/>
        <v>-1459</v>
      </c>
      <c r="H468" s="116"/>
      <c r="I468" s="107"/>
      <c r="J468" s="26">
        <f t="shared" si="275"/>
        <v>-1459</v>
      </c>
      <c r="K468" s="117"/>
      <c r="L468" s="117"/>
      <c r="M468" s="19">
        <f t="shared" si="276"/>
        <v>-1459</v>
      </c>
      <c r="N468" s="116"/>
      <c r="O468" s="107"/>
      <c r="P468" s="26">
        <f t="shared" si="277"/>
        <v>-1459</v>
      </c>
      <c r="Q468" s="117"/>
      <c r="R468" s="117"/>
      <c r="S468" s="38">
        <f t="shared" si="278"/>
        <v>-1459</v>
      </c>
      <c r="T468" s="106"/>
      <c r="U468" s="116"/>
      <c r="V468" s="20">
        <f t="shared" si="279"/>
        <v>-1459</v>
      </c>
      <c r="W468" s="143"/>
    </row>
    <row r="469" spans="1:23" ht="15.75" customHeight="1">
      <c r="A469" s="114"/>
      <c r="B469" s="106"/>
      <c r="C469" s="107"/>
      <c r="D469" s="26">
        <f t="shared" si="273"/>
        <v>-1459</v>
      </c>
      <c r="E469" s="117"/>
      <c r="F469" s="117"/>
      <c r="G469" s="19">
        <f t="shared" si="274"/>
        <v>-1459</v>
      </c>
      <c r="H469" s="116"/>
      <c r="I469" s="107"/>
      <c r="J469" s="26">
        <f t="shared" si="275"/>
        <v>-1459</v>
      </c>
      <c r="K469" s="117"/>
      <c r="L469" s="117"/>
      <c r="M469" s="19">
        <f t="shared" si="276"/>
        <v>-1459</v>
      </c>
      <c r="N469" s="116"/>
      <c r="O469" s="107"/>
      <c r="P469" s="26">
        <f t="shared" si="277"/>
        <v>-1459</v>
      </c>
      <c r="Q469" s="117"/>
      <c r="R469" s="117"/>
      <c r="S469" s="38">
        <f t="shared" si="278"/>
        <v>-1459</v>
      </c>
      <c r="T469" s="106"/>
      <c r="U469" s="116"/>
      <c r="V469" s="20">
        <f t="shared" si="279"/>
        <v>-1459</v>
      </c>
      <c r="W469" s="143"/>
    </row>
    <row r="470" spans="1:23" ht="15.75" customHeight="1">
      <c r="A470" s="114"/>
      <c r="B470" s="122"/>
      <c r="C470" s="123"/>
      <c r="D470" s="26">
        <f t="shared" si="273"/>
        <v>-1459</v>
      </c>
      <c r="E470" s="117"/>
      <c r="F470" s="117"/>
      <c r="G470" s="19">
        <f t="shared" si="274"/>
        <v>-1459</v>
      </c>
      <c r="H470" s="116"/>
      <c r="I470" s="107"/>
      <c r="J470" s="26">
        <f t="shared" si="275"/>
        <v>-1459</v>
      </c>
      <c r="K470" s="117"/>
      <c r="L470" s="117"/>
      <c r="M470" s="38">
        <f t="shared" si="276"/>
        <v>-1459</v>
      </c>
      <c r="N470" s="106"/>
      <c r="O470" s="107"/>
      <c r="P470" s="26">
        <f t="shared" si="277"/>
        <v>-1459</v>
      </c>
      <c r="Q470" s="117"/>
      <c r="R470" s="117"/>
      <c r="S470" s="38">
        <f t="shared" si="278"/>
        <v>-1459</v>
      </c>
      <c r="T470" s="106"/>
      <c r="U470" s="116"/>
      <c r="V470" s="20">
        <f t="shared" si="279"/>
        <v>-1459</v>
      </c>
      <c r="W470" s="143"/>
    </row>
    <row r="471" spans="1:23" ht="15.75" customHeight="1">
      <c r="A471" s="114"/>
      <c r="B471" s="122"/>
      <c r="C471" s="123"/>
      <c r="D471" s="26">
        <f t="shared" si="273"/>
        <v>-1459</v>
      </c>
      <c r="E471" s="117"/>
      <c r="F471" s="117"/>
      <c r="G471" s="19">
        <f t="shared" si="274"/>
        <v>-1459</v>
      </c>
      <c r="H471" s="116"/>
      <c r="I471" s="107"/>
      <c r="J471" s="26">
        <f t="shared" si="275"/>
        <v>-1459</v>
      </c>
      <c r="K471" s="117"/>
      <c r="L471" s="117"/>
      <c r="M471" s="38">
        <f t="shared" si="276"/>
        <v>-1459</v>
      </c>
      <c r="N471" s="106"/>
      <c r="O471" s="107"/>
      <c r="P471" s="26">
        <f t="shared" si="277"/>
        <v>-1459</v>
      </c>
      <c r="Q471" s="117"/>
      <c r="R471" s="117"/>
      <c r="S471" s="38">
        <f t="shared" si="278"/>
        <v>-1459</v>
      </c>
      <c r="T471" s="106"/>
      <c r="U471" s="116"/>
      <c r="V471" s="20">
        <f t="shared" si="279"/>
        <v>-1459</v>
      </c>
      <c r="W471" s="143"/>
    </row>
    <row r="472" spans="1:23" ht="15.75" customHeight="1">
      <c r="A472" s="114"/>
      <c r="B472" s="122"/>
      <c r="C472" s="123"/>
      <c r="D472" s="26">
        <f t="shared" si="273"/>
        <v>-1459</v>
      </c>
      <c r="E472" s="117"/>
      <c r="F472" s="117"/>
      <c r="G472" s="19">
        <f t="shared" si="274"/>
        <v>-1459</v>
      </c>
      <c r="H472" s="124"/>
      <c r="I472" s="123"/>
      <c r="J472" s="26">
        <f t="shared" si="275"/>
        <v>-1459</v>
      </c>
      <c r="K472" s="117"/>
      <c r="L472" s="117"/>
      <c r="M472" s="38">
        <f t="shared" si="276"/>
        <v>-1459</v>
      </c>
      <c r="N472" s="122"/>
      <c r="O472" s="123"/>
      <c r="P472" s="26">
        <f t="shared" si="277"/>
        <v>-1459</v>
      </c>
      <c r="Q472" s="117"/>
      <c r="R472" s="117"/>
      <c r="S472" s="38">
        <f t="shared" si="278"/>
        <v>-1459</v>
      </c>
      <c r="T472" s="106"/>
      <c r="U472" s="116"/>
      <c r="V472" s="20">
        <f t="shared" si="279"/>
        <v>-1459</v>
      </c>
      <c r="W472" s="143"/>
    </row>
    <row r="473" spans="1:23" ht="15.75" customHeight="1">
      <c r="A473" s="114"/>
      <c r="B473" s="122"/>
      <c r="C473" s="123"/>
      <c r="D473" s="26">
        <f t="shared" si="273"/>
        <v>-1459</v>
      </c>
      <c r="E473" s="117"/>
      <c r="F473" s="117"/>
      <c r="G473" s="19">
        <f t="shared" si="274"/>
        <v>-1459</v>
      </c>
      <c r="H473" s="124"/>
      <c r="I473" s="123"/>
      <c r="J473" s="26">
        <f t="shared" si="275"/>
        <v>-1459</v>
      </c>
      <c r="K473" s="117"/>
      <c r="L473" s="117"/>
      <c r="M473" s="38">
        <f t="shared" si="276"/>
        <v>-1459</v>
      </c>
      <c r="N473" s="122"/>
      <c r="O473" s="123"/>
      <c r="P473" s="26">
        <f t="shared" si="277"/>
        <v>-1459</v>
      </c>
      <c r="Q473" s="117"/>
      <c r="R473" s="117"/>
      <c r="S473" s="38">
        <f t="shared" si="278"/>
        <v>-1459</v>
      </c>
      <c r="T473" s="122"/>
      <c r="U473" s="124"/>
      <c r="V473" s="20">
        <f t="shared" si="279"/>
        <v>-1459</v>
      </c>
      <c r="W473" s="143"/>
    </row>
    <row r="474" spans="1:23" ht="15.75" customHeight="1">
      <c r="A474" s="114"/>
      <c r="B474" s="122"/>
      <c r="C474" s="123"/>
      <c r="D474" s="39">
        <f t="shared" si="273"/>
        <v>-1459</v>
      </c>
      <c r="E474" s="128"/>
      <c r="F474" s="128"/>
      <c r="G474" s="55">
        <f t="shared" si="274"/>
        <v>-1459</v>
      </c>
      <c r="H474" s="124"/>
      <c r="I474" s="123"/>
      <c r="J474" s="39">
        <f t="shared" si="275"/>
        <v>-1459</v>
      </c>
      <c r="K474" s="128"/>
      <c r="L474" s="128"/>
      <c r="M474" s="40">
        <f t="shared" si="276"/>
        <v>-1459</v>
      </c>
      <c r="N474" s="122"/>
      <c r="O474" s="123"/>
      <c r="P474" s="39">
        <f t="shared" si="277"/>
        <v>-1459</v>
      </c>
      <c r="Q474" s="128"/>
      <c r="R474" s="128"/>
      <c r="S474" s="40">
        <f t="shared" si="278"/>
        <v>-1459</v>
      </c>
      <c r="T474" s="122"/>
      <c r="U474" s="123"/>
      <c r="V474" s="49">
        <f t="shared" si="279"/>
        <v>-1459</v>
      </c>
      <c r="W474" s="143"/>
    </row>
    <row r="475" spans="1:23" ht="15.75" customHeight="1">
      <c r="A475" s="87"/>
      <c r="B475" s="77">
        <f ca="1">IFERROR(__xludf.DUMMYFUNCTION("DATE(VALUE(LEFT($B$2,4)),VALUE(MID($B$2,6,2)),VALUE(RIGHT($B$2,2)))
+ (VALUE(REGEXEXTRACT(INDIRECT(""A""&amp;ROW()+1),""\d+""))-1)*7
+ INT((COLUMN()-COLUMN($B475))/3)
"),47398)</f>
        <v>47398</v>
      </c>
      <c r="C475" s="81"/>
      <c r="D475" s="82"/>
      <c r="E475" s="77">
        <f ca="1">IFERROR(__xludf.DUMMYFUNCTION("DATE(VALUE(LEFT($B$2,4)),VALUE(MID($B$2,6,2)),VALUE(RIGHT($B$2,2)))
+ (VALUE(REGEXEXTRACT(INDIRECT(""A""&amp;ROW()+1),""\d+""))-1)*7
+ INT((COLUMN()-COLUMN($B475))/3)
"),47399)</f>
        <v>47399</v>
      </c>
      <c r="F475" s="81"/>
      <c r="G475" s="82"/>
      <c r="H475" s="77">
        <f ca="1">IFERROR(__xludf.DUMMYFUNCTION("DATE(VALUE(LEFT($B$2,4)),VALUE(MID($B$2,6,2)),VALUE(RIGHT($B$2,2)))
+ (VALUE(REGEXEXTRACT(INDIRECT(""A""&amp;ROW()+1),""\d+""))-1)*7
+ INT((COLUMN()-COLUMN($B475))/3)
"),47400)</f>
        <v>47400</v>
      </c>
      <c r="I475" s="81"/>
      <c r="J475" s="82"/>
      <c r="K475" s="77">
        <f ca="1">IFERROR(__xludf.DUMMYFUNCTION("DATE(VALUE(LEFT($B$2,4)),VALUE(MID($B$2,6,2)),VALUE(RIGHT($B$2,2)))
+ (VALUE(REGEXEXTRACT(INDIRECT(""A""&amp;ROW()+1),""\d+""))-1)*7
+ INT((COLUMN()-COLUMN($B475))/3)
"),47401)</f>
        <v>47401</v>
      </c>
      <c r="L475" s="81"/>
      <c r="M475" s="82"/>
      <c r="N475" s="77">
        <f ca="1">IFERROR(__xludf.DUMMYFUNCTION("DATE(VALUE(LEFT($B$2,4)),VALUE(MID($B$2,6,2)),VALUE(RIGHT($B$2,2)))
+ (VALUE(REGEXEXTRACT(INDIRECT(""A""&amp;ROW()+1),""\d+""))-1)*7
+ INT((COLUMN()-COLUMN($B475))/3)
"),47402)</f>
        <v>47402</v>
      </c>
      <c r="O475" s="81"/>
      <c r="P475" s="82"/>
      <c r="Q475" s="77">
        <f ca="1">IFERROR(__xludf.DUMMYFUNCTION("DATE(VALUE(LEFT($B$2,4)),VALUE(MID($B$2,6,2)),VALUE(RIGHT($B$2,2)))
+ (VALUE(REGEXEXTRACT(INDIRECT(""A""&amp;ROW()+1),""\d+""))-1)*7
+ INT((COLUMN()-COLUMN($B475))/3)
"),47403)</f>
        <v>47403</v>
      </c>
      <c r="R475" s="81"/>
      <c r="S475" s="82"/>
      <c r="T475" s="77">
        <f ca="1">IFERROR(__xludf.DUMMYFUNCTION("DATE(VALUE(LEFT($B$2,4)),VALUE(MID($B$2,6,2)),VALUE(RIGHT($B$2,2)))
+ (VALUE(REGEXEXTRACT(INDIRECT(""A""&amp;ROW()+1),""\d+""))-1)*7
+ INT((COLUMN()-COLUMN($B475))/3)
"),47404)</f>
        <v>47404</v>
      </c>
      <c r="U475" s="81"/>
      <c r="V475" s="82"/>
      <c r="W475" s="52" t="s">
        <v>20</v>
      </c>
    </row>
    <row r="476" spans="1:23" ht="15.75" customHeight="1">
      <c r="A476" s="47" t="s">
        <v>169</v>
      </c>
      <c r="B476" s="113"/>
      <c r="C476" s="109"/>
      <c r="D476" s="42">
        <f>V474+C476</f>
        <v>-1459</v>
      </c>
      <c r="E476" s="112"/>
      <c r="F476" s="111"/>
      <c r="G476" s="36">
        <f>D486+F476</f>
        <v>-1459</v>
      </c>
      <c r="H476" s="132"/>
      <c r="I476" s="109"/>
      <c r="J476" s="42">
        <f>G486+I476</f>
        <v>-1459</v>
      </c>
      <c r="K476" s="112"/>
      <c r="L476" s="111"/>
      <c r="M476" s="18">
        <f>J486+L476</f>
        <v>-1459</v>
      </c>
      <c r="N476" s="113"/>
      <c r="O476" s="109"/>
      <c r="P476" s="35">
        <f>M486+O476</f>
        <v>-1459</v>
      </c>
      <c r="Q476" s="112"/>
      <c r="R476" s="111"/>
      <c r="S476" s="18">
        <f>P486+R476</f>
        <v>-1459</v>
      </c>
      <c r="T476" s="173"/>
      <c r="U476" s="173"/>
      <c r="V476" s="50">
        <f>S486+U476</f>
        <v>-1459</v>
      </c>
      <c r="W476" s="172"/>
    </row>
    <row r="477" spans="1:23" ht="15.75" customHeight="1">
      <c r="A477" s="114"/>
      <c r="B477" s="118"/>
      <c r="C477" s="117"/>
      <c r="D477" s="19">
        <f t="shared" ref="D477:D486" si="280">D476+C477</f>
        <v>-1459</v>
      </c>
      <c r="E477" s="106"/>
      <c r="F477" s="107"/>
      <c r="G477" s="26">
        <f t="shared" ref="G477:G486" si="281">G476+F477</f>
        <v>-1459</v>
      </c>
      <c r="H477" s="133"/>
      <c r="I477" s="117"/>
      <c r="J477" s="19">
        <f t="shared" ref="J477:J486" si="282">J476+I477</f>
        <v>-1459</v>
      </c>
      <c r="K477" s="106"/>
      <c r="L477" s="107"/>
      <c r="M477" s="26">
        <f t="shared" ref="M477:M486" si="283">M476+L477</f>
        <v>-1459</v>
      </c>
      <c r="N477" s="118"/>
      <c r="O477" s="117"/>
      <c r="P477" s="38">
        <f t="shared" ref="P477:P486" si="284">P476+O477</f>
        <v>-1459</v>
      </c>
      <c r="Q477" s="106"/>
      <c r="R477" s="107"/>
      <c r="S477" s="26">
        <f t="shared" ref="S477:S486" si="285">S476+R477</f>
        <v>-1459</v>
      </c>
      <c r="T477" s="136"/>
      <c r="U477" s="136"/>
      <c r="V477" s="45">
        <f t="shared" ref="V477:V486" si="286">V476+U477</f>
        <v>-1459</v>
      </c>
      <c r="W477" s="143"/>
    </row>
    <row r="478" spans="1:23" ht="15.75" customHeight="1">
      <c r="A478" s="114"/>
      <c r="B478" s="118"/>
      <c r="C478" s="117"/>
      <c r="D478" s="19">
        <f t="shared" si="280"/>
        <v>-1459</v>
      </c>
      <c r="E478" s="106"/>
      <c r="F478" s="107"/>
      <c r="G478" s="26">
        <f t="shared" si="281"/>
        <v>-1459</v>
      </c>
      <c r="H478" s="133"/>
      <c r="I478" s="117"/>
      <c r="J478" s="19">
        <f t="shared" si="282"/>
        <v>-1459</v>
      </c>
      <c r="K478" s="106"/>
      <c r="L478" s="107"/>
      <c r="M478" s="26">
        <f t="shared" si="283"/>
        <v>-1459</v>
      </c>
      <c r="N478" s="117"/>
      <c r="O478" s="117"/>
      <c r="P478" s="38">
        <f t="shared" si="284"/>
        <v>-1459</v>
      </c>
      <c r="Q478" s="106"/>
      <c r="R478" s="107"/>
      <c r="S478" s="26">
        <f t="shared" si="285"/>
        <v>-1459</v>
      </c>
      <c r="T478" s="136"/>
      <c r="U478" s="136"/>
      <c r="V478" s="45">
        <f t="shared" si="286"/>
        <v>-1459</v>
      </c>
      <c r="W478" s="143"/>
    </row>
    <row r="479" spans="1:23" ht="15.75" customHeight="1">
      <c r="A479" s="114"/>
      <c r="B479" s="118"/>
      <c r="C479" s="117"/>
      <c r="D479" s="19">
        <f t="shared" si="280"/>
        <v>-1459</v>
      </c>
      <c r="E479" s="106"/>
      <c r="F479" s="107"/>
      <c r="G479" s="26">
        <f t="shared" si="281"/>
        <v>-1459</v>
      </c>
      <c r="H479" s="133"/>
      <c r="I479" s="117"/>
      <c r="J479" s="19">
        <f t="shared" si="282"/>
        <v>-1459</v>
      </c>
      <c r="K479" s="106"/>
      <c r="L479" s="107"/>
      <c r="M479" s="26">
        <f t="shared" si="283"/>
        <v>-1459</v>
      </c>
      <c r="N479" s="117"/>
      <c r="O479" s="117"/>
      <c r="P479" s="38">
        <f t="shared" si="284"/>
        <v>-1459</v>
      </c>
      <c r="Q479" s="106"/>
      <c r="R479" s="107"/>
      <c r="S479" s="26">
        <f t="shared" si="285"/>
        <v>-1459</v>
      </c>
      <c r="T479" s="136"/>
      <c r="U479" s="136"/>
      <c r="V479" s="45">
        <f t="shared" si="286"/>
        <v>-1459</v>
      </c>
      <c r="W479" s="143"/>
    </row>
    <row r="480" spans="1:23" ht="15.75" customHeight="1">
      <c r="A480" s="114"/>
      <c r="B480" s="118"/>
      <c r="C480" s="117"/>
      <c r="D480" s="19">
        <f t="shared" si="280"/>
        <v>-1459</v>
      </c>
      <c r="E480" s="106"/>
      <c r="F480" s="107"/>
      <c r="G480" s="26">
        <f t="shared" si="281"/>
        <v>-1459</v>
      </c>
      <c r="H480" s="133"/>
      <c r="I480" s="117"/>
      <c r="J480" s="19">
        <f t="shared" si="282"/>
        <v>-1459</v>
      </c>
      <c r="K480" s="106"/>
      <c r="L480" s="107"/>
      <c r="M480" s="26">
        <f t="shared" si="283"/>
        <v>-1459</v>
      </c>
      <c r="N480" s="117"/>
      <c r="O480" s="117"/>
      <c r="P480" s="38">
        <f t="shared" si="284"/>
        <v>-1459</v>
      </c>
      <c r="Q480" s="106"/>
      <c r="R480" s="107"/>
      <c r="S480" s="26">
        <f t="shared" si="285"/>
        <v>-1459</v>
      </c>
      <c r="T480" s="136"/>
      <c r="U480" s="136"/>
      <c r="V480" s="45">
        <f t="shared" si="286"/>
        <v>-1459</v>
      </c>
      <c r="W480" s="143"/>
    </row>
    <row r="481" spans="1:23" ht="15.75" customHeight="1">
      <c r="A481" s="114"/>
      <c r="B481" s="118"/>
      <c r="C481" s="117"/>
      <c r="D481" s="19">
        <f t="shared" si="280"/>
        <v>-1459</v>
      </c>
      <c r="E481" s="106"/>
      <c r="F481" s="107"/>
      <c r="G481" s="26">
        <f t="shared" si="281"/>
        <v>-1459</v>
      </c>
      <c r="H481" s="133"/>
      <c r="I481" s="117"/>
      <c r="J481" s="19">
        <f t="shared" si="282"/>
        <v>-1459</v>
      </c>
      <c r="K481" s="106"/>
      <c r="L481" s="107"/>
      <c r="M481" s="26">
        <f t="shared" si="283"/>
        <v>-1459</v>
      </c>
      <c r="N481" s="117"/>
      <c r="O481" s="117"/>
      <c r="P481" s="38">
        <f t="shared" si="284"/>
        <v>-1459</v>
      </c>
      <c r="Q481" s="106"/>
      <c r="R481" s="107"/>
      <c r="S481" s="26">
        <f t="shared" si="285"/>
        <v>-1459</v>
      </c>
      <c r="T481" s="136"/>
      <c r="U481" s="136"/>
      <c r="V481" s="45">
        <f t="shared" si="286"/>
        <v>-1459</v>
      </c>
      <c r="W481" s="143"/>
    </row>
    <row r="482" spans="1:23" ht="15.75" customHeight="1">
      <c r="A482" s="114"/>
      <c r="B482" s="117"/>
      <c r="C482" s="117"/>
      <c r="D482" s="19">
        <f t="shared" si="280"/>
        <v>-1459</v>
      </c>
      <c r="E482" s="106"/>
      <c r="F482" s="107"/>
      <c r="G482" s="26">
        <f t="shared" si="281"/>
        <v>-1459</v>
      </c>
      <c r="H482" s="133"/>
      <c r="I482" s="117"/>
      <c r="J482" s="19">
        <f t="shared" si="282"/>
        <v>-1459</v>
      </c>
      <c r="K482" s="106"/>
      <c r="L482" s="107"/>
      <c r="M482" s="26">
        <f t="shared" si="283"/>
        <v>-1459</v>
      </c>
      <c r="N482" s="117"/>
      <c r="O482" s="117"/>
      <c r="P482" s="38">
        <f t="shared" si="284"/>
        <v>-1459</v>
      </c>
      <c r="Q482" s="106"/>
      <c r="R482" s="107"/>
      <c r="S482" s="26">
        <f t="shared" si="285"/>
        <v>-1459</v>
      </c>
      <c r="T482" s="136"/>
      <c r="U482" s="136"/>
      <c r="V482" s="45">
        <f t="shared" si="286"/>
        <v>-1459</v>
      </c>
      <c r="W482" s="143"/>
    </row>
    <row r="483" spans="1:23" ht="15.75" customHeight="1">
      <c r="A483" s="114"/>
      <c r="B483" s="117"/>
      <c r="C483" s="117"/>
      <c r="D483" s="19">
        <f t="shared" si="280"/>
        <v>-1459</v>
      </c>
      <c r="E483" s="106"/>
      <c r="F483" s="107"/>
      <c r="G483" s="26">
        <f t="shared" si="281"/>
        <v>-1459</v>
      </c>
      <c r="H483" s="133"/>
      <c r="I483" s="117"/>
      <c r="J483" s="19">
        <f t="shared" si="282"/>
        <v>-1459</v>
      </c>
      <c r="K483" s="106"/>
      <c r="L483" s="107"/>
      <c r="M483" s="26">
        <f t="shared" si="283"/>
        <v>-1459</v>
      </c>
      <c r="N483" s="117"/>
      <c r="O483" s="117"/>
      <c r="P483" s="38">
        <f t="shared" si="284"/>
        <v>-1459</v>
      </c>
      <c r="Q483" s="106"/>
      <c r="R483" s="107"/>
      <c r="S483" s="26">
        <f t="shared" si="285"/>
        <v>-1459</v>
      </c>
      <c r="T483" s="136"/>
      <c r="U483" s="136"/>
      <c r="V483" s="45">
        <f t="shared" si="286"/>
        <v>-1459</v>
      </c>
      <c r="W483" s="143"/>
    </row>
    <row r="484" spans="1:23" ht="15.75" customHeight="1">
      <c r="A484" s="114"/>
      <c r="B484" s="117"/>
      <c r="C484" s="117"/>
      <c r="D484" s="19">
        <f t="shared" si="280"/>
        <v>-1459</v>
      </c>
      <c r="E484" s="106"/>
      <c r="F484" s="107"/>
      <c r="G484" s="26">
        <f t="shared" si="281"/>
        <v>-1459</v>
      </c>
      <c r="H484" s="133"/>
      <c r="I484" s="117"/>
      <c r="J484" s="19">
        <f t="shared" si="282"/>
        <v>-1459</v>
      </c>
      <c r="K484" s="106"/>
      <c r="L484" s="107"/>
      <c r="M484" s="26">
        <f t="shared" si="283"/>
        <v>-1459</v>
      </c>
      <c r="N484" s="117"/>
      <c r="O484" s="117"/>
      <c r="P484" s="38">
        <f t="shared" si="284"/>
        <v>-1459</v>
      </c>
      <c r="Q484" s="106"/>
      <c r="R484" s="107"/>
      <c r="S484" s="26">
        <f t="shared" si="285"/>
        <v>-1459</v>
      </c>
      <c r="T484" s="136"/>
      <c r="U484" s="136"/>
      <c r="V484" s="45">
        <f t="shared" si="286"/>
        <v>-1459</v>
      </c>
      <c r="W484" s="143"/>
    </row>
    <row r="485" spans="1:23" ht="15.75" customHeight="1">
      <c r="A485" s="114"/>
      <c r="B485" s="117"/>
      <c r="C485" s="117"/>
      <c r="D485" s="19">
        <f t="shared" si="280"/>
        <v>-1459</v>
      </c>
      <c r="E485" s="122"/>
      <c r="F485" s="123"/>
      <c r="G485" s="26">
        <f t="shared" si="281"/>
        <v>-1459</v>
      </c>
      <c r="H485" s="133"/>
      <c r="I485" s="117"/>
      <c r="J485" s="19">
        <f t="shared" si="282"/>
        <v>-1459</v>
      </c>
      <c r="K485" s="122"/>
      <c r="L485" s="123"/>
      <c r="M485" s="26">
        <f t="shared" si="283"/>
        <v>-1459</v>
      </c>
      <c r="N485" s="117"/>
      <c r="O485" s="117"/>
      <c r="P485" s="38">
        <f t="shared" si="284"/>
        <v>-1459</v>
      </c>
      <c r="Q485" s="122"/>
      <c r="R485" s="123"/>
      <c r="S485" s="26">
        <f t="shared" si="285"/>
        <v>-1459</v>
      </c>
      <c r="T485" s="136"/>
      <c r="U485" s="136"/>
      <c r="V485" s="45">
        <f t="shared" si="286"/>
        <v>-1459</v>
      </c>
      <c r="W485" s="143"/>
    </row>
    <row r="486" spans="1:23" ht="15.75" customHeight="1">
      <c r="A486" s="114"/>
      <c r="B486" s="128"/>
      <c r="C486" s="128"/>
      <c r="D486" s="29">
        <f t="shared" si="280"/>
        <v>-1459</v>
      </c>
      <c r="E486" s="122"/>
      <c r="F486" s="123"/>
      <c r="G486" s="53">
        <f t="shared" si="281"/>
        <v>-1459</v>
      </c>
      <c r="H486" s="140"/>
      <c r="I486" s="128"/>
      <c r="J486" s="29">
        <f t="shared" si="282"/>
        <v>-1459</v>
      </c>
      <c r="K486" s="122"/>
      <c r="L486" s="123"/>
      <c r="M486" s="39">
        <f t="shared" si="283"/>
        <v>-1459</v>
      </c>
      <c r="N486" s="128"/>
      <c r="O486" s="128"/>
      <c r="P486" s="40">
        <f t="shared" si="284"/>
        <v>-1459</v>
      </c>
      <c r="Q486" s="122"/>
      <c r="R486" s="123"/>
      <c r="S486" s="39">
        <f t="shared" si="285"/>
        <v>-1459</v>
      </c>
      <c r="T486" s="141"/>
      <c r="U486" s="141"/>
      <c r="V486" s="46">
        <f t="shared" si="286"/>
        <v>-1459</v>
      </c>
      <c r="W486" s="143"/>
    </row>
    <row r="487" spans="1:23" ht="15.75" customHeight="1">
      <c r="A487" s="87"/>
      <c r="B487" s="77">
        <f ca="1">IFERROR(__xludf.DUMMYFUNCTION("DATE(VALUE(LEFT($B$2,4)),VALUE(MID($B$2,6,2)),VALUE(RIGHT($B$2,2)))
+ (VALUE(REGEXEXTRACT(INDIRECT(""A""&amp;ROW()+1),""\d+""))-1)*7
+ INT((COLUMN()-COLUMN($B487))/3)
"),47405)</f>
        <v>47405</v>
      </c>
      <c r="C487" s="81"/>
      <c r="D487" s="82"/>
      <c r="E487" s="77">
        <f ca="1">IFERROR(__xludf.DUMMYFUNCTION("DATE(VALUE(LEFT($B$2,4)),VALUE(MID($B$2,6,2)),VALUE(RIGHT($B$2,2)))
+ (VALUE(REGEXEXTRACT(INDIRECT(""A""&amp;ROW()+1),""\d+""))-1)*7
+ INT((COLUMN()-COLUMN($B487))/3)
"),47406)</f>
        <v>47406</v>
      </c>
      <c r="F487" s="81"/>
      <c r="G487" s="82"/>
      <c r="H487" s="77">
        <f ca="1">IFERROR(__xludf.DUMMYFUNCTION("DATE(VALUE(LEFT($B$2,4)),VALUE(MID($B$2,6,2)),VALUE(RIGHT($B$2,2)))
+ (VALUE(REGEXEXTRACT(INDIRECT(""A""&amp;ROW()+1),""\d+""))-1)*7
+ INT((COLUMN()-COLUMN($B487))/3)
"),47407)</f>
        <v>47407</v>
      </c>
      <c r="I487" s="81"/>
      <c r="J487" s="82"/>
      <c r="K487" s="77">
        <f ca="1">IFERROR(__xludf.DUMMYFUNCTION("DATE(VALUE(LEFT($B$2,4)),VALUE(MID($B$2,6,2)),VALUE(RIGHT($B$2,2)))
+ (VALUE(REGEXEXTRACT(INDIRECT(""A""&amp;ROW()+1),""\d+""))-1)*7
+ INT((COLUMN()-COLUMN($B487))/3)
"),47408)</f>
        <v>47408</v>
      </c>
      <c r="L487" s="81"/>
      <c r="M487" s="82"/>
      <c r="N487" s="77">
        <f ca="1">IFERROR(__xludf.DUMMYFUNCTION("DATE(VALUE(LEFT($B$2,4)),VALUE(MID($B$2,6,2)),VALUE(RIGHT($B$2,2)))
+ (VALUE(REGEXEXTRACT(INDIRECT(""A""&amp;ROW()+1),""\d+""))-1)*7
+ INT((COLUMN()-COLUMN($B487))/3)
"),47409)</f>
        <v>47409</v>
      </c>
      <c r="O487" s="81"/>
      <c r="P487" s="82"/>
      <c r="Q487" s="77">
        <f ca="1">IFERROR(__xludf.DUMMYFUNCTION("DATE(VALUE(LEFT($B$2,4)),VALUE(MID($B$2,6,2)),VALUE(RIGHT($B$2,2)))
+ (VALUE(REGEXEXTRACT(INDIRECT(""A""&amp;ROW()+1),""\d+""))-1)*7
+ INT((COLUMN()-COLUMN($B487))/3)
"),47410)</f>
        <v>47410</v>
      </c>
      <c r="R487" s="81"/>
      <c r="S487" s="82"/>
      <c r="T487" s="77">
        <f ca="1">IFERROR(__xludf.DUMMYFUNCTION("DATE(VALUE(LEFT($B$2,4)),VALUE(MID($B$2,6,2)),VALUE(RIGHT($B$2,2)))
+ (VALUE(REGEXEXTRACT(INDIRECT(""A""&amp;ROW()+1),""\d+""))-1)*7
+ INT((COLUMN()-COLUMN($B487))/3)
"),47411)</f>
        <v>47411</v>
      </c>
      <c r="U487" s="81"/>
      <c r="V487" s="82"/>
      <c r="W487" s="143"/>
    </row>
    <row r="488" spans="1:23" ht="15.75" customHeight="1">
      <c r="A488" s="51" t="s">
        <v>170</v>
      </c>
      <c r="B488" s="112"/>
      <c r="C488" s="111"/>
      <c r="D488" s="17">
        <f>V486+C488</f>
        <v>-1459</v>
      </c>
      <c r="E488" s="109"/>
      <c r="F488" s="109"/>
      <c r="G488" s="42">
        <f>D498+F488</f>
        <v>-1459</v>
      </c>
      <c r="H488" s="112"/>
      <c r="I488" s="111"/>
      <c r="J488" s="17">
        <f>G498+I488</f>
        <v>-1459</v>
      </c>
      <c r="K488" s="109"/>
      <c r="L488" s="109"/>
      <c r="M488" s="35">
        <f>J498+L488</f>
        <v>-1459</v>
      </c>
      <c r="N488" s="112"/>
      <c r="O488" s="111"/>
      <c r="P488" s="17">
        <f>M498+O488</f>
        <v>-1459</v>
      </c>
      <c r="Q488" s="109"/>
      <c r="R488" s="109"/>
      <c r="S488" s="35">
        <f>P498+R488</f>
        <v>-1459</v>
      </c>
      <c r="T488" s="112"/>
      <c r="U488" s="111"/>
      <c r="V488" s="48">
        <f>S498+U488</f>
        <v>-1459</v>
      </c>
      <c r="W488" s="143"/>
    </row>
    <row r="489" spans="1:23" ht="15.75" customHeight="1">
      <c r="A489" s="114"/>
      <c r="B489" s="106"/>
      <c r="C489" s="107"/>
      <c r="D489" s="26">
        <f t="shared" ref="D489:D498" si="287">D488+C489</f>
        <v>-1459</v>
      </c>
      <c r="E489" s="117"/>
      <c r="F489" s="117"/>
      <c r="G489" s="19">
        <f t="shared" ref="G489:G498" si="288">G488+F489</f>
        <v>-1459</v>
      </c>
      <c r="H489" s="106"/>
      <c r="I489" s="107"/>
      <c r="J489" s="26">
        <f t="shared" ref="J489:J498" si="289">J488+I489</f>
        <v>-1459</v>
      </c>
      <c r="K489" s="117"/>
      <c r="L489" s="117"/>
      <c r="M489" s="38">
        <f t="shared" ref="M489:M498" si="290">M488+L489</f>
        <v>-1459</v>
      </c>
      <c r="N489" s="106"/>
      <c r="O489" s="107"/>
      <c r="P489" s="26">
        <f t="shared" ref="P489:P498" si="291">P488+O489</f>
        <v>-1459</v>
      </c>
      <c r="Q489" s="117"/>
      <c r="R489" s="117"/>
      <c r="S489" s="38">
        <f t="shared" ref="S489:S498" si="292">S488+R489</f>
        <v>-1459</v>
      </c>
      <c r="T489" s="106"/>
      <c r="U489" s="107"/>
      <c r="V489" s="20">
        <f t="shared" ref="V489:V498" si="293">V488+U489</f>
        <v>-1459</v>
      </c>
      <c r="W489" s="143"/>
    </row>
    <row r="490" spans="1:23" ht="15.75" customHeight="1">
      <c r="A490" s="114"/>
      <c r="B490" s="106"/>
      <c r="C490" s="107"/>
      <c r="D490" s="26">
        <f t="shared" si="287"/>
        <v>-1459</v>
      </c>
      <c r="E490" s="117"/>
      <c r="F490" s="117"/>
      <c r="G490" s="19">
        <f t="shared" si="288"/>
        <v>-1459</v>
      </c>
      <c r="H490" s="106"/>
      <c r="I490" s="107"/>
      <c r="J490" s="26">
        <f t="shared" si="289"/>
        <v>-1459</v>
      </c>
      <c r="K490" s="117"/>
      <c r="L490" s="117"/>
      <c r="M490" s="38">
        <f t="shared" si="290"/>
        <v>-1459</v>
      </c>
      <c r="N490" s="106"/>
      <c r="O490" s="107"/>
      <c r="P490" s="26">
        <f t="shared" si="291"/>
        <v>-1459</v>
      </c>
      <c r="Q490" s="117"/>
      <c r="R490" s="117"/>
      <c r="S490" s="38">
        <f t="shared" si="292"/>
        <v>-1459</v>
      </c>
      <c r="T490" s="106"/>
      <c r="U490" s="116"/>
      <c r="V490" s="20">
        <f t="shared" si="293"/>
        <v>-1459</v>
      </c>
      <c r="W490" s="143"/>
    </row>
    <row r="491" spans="1:23" ht="15.75" customHeight="1">
      <c r="A491" s="114"/>
      <c r="B491" s="106"/>
      <c r="C491" s="107"/>
      <c r="D491" s="26">
        <f t="shared" si="287"/>
        <v>-1459</v>
      </c>
      <c r="E491" s="117"/>
      <c r="F491" s="117"/>
      <c r="G491" s="19">
        <f t="shared" si="288"/>
        <v>-1459</v>
      </c>
      <c r="H491" s="106"/>
      <c r="I491" s="107"/>
      <c r="J491" s="26">
        <f t="shared" si="289"/>
        <v>-1459</v>
      </c>
      <c r="K491" s="117"/>
      <c r="L491" s="117"/>
      <c r="M491" s="38">
        <f t="shared" si="290"/>
        <v>-1459</v>
      </c>
      <c r="N491" s="106"/>
      <c r="O491" s="107"/>
      <c r="P491" s="26">
        <f t="shared" si="291"/>
        <v>-1459</v>
      </c>
      <c r="Q491" s="117"/>
      <c r="R491" s="117"/>
      <c r="S491" s="38">
        <f t="shared" si="292"/>
        <v>-1459</v>
      </c>
      <c r="T491" s="106"/>
      <c r="U491" s="116"/>
      <c r="V491" s="20">
        <f t="shared" si="293"/>
        <v>-1459</v>
      </c>
      <c r="W491" s="143"/>
    </row>
    <row r="492" spans="1:23" ht="15.75" customHeight="1">
      <c r="A492" s="114"/>
      <c r="B492" s="106"/>
      <c r="C492" s="107"/>
      <c r="D492" s="26">
        <f t="shared" si="287"/>
        <v>-1459</v>
      </c>
      <c r="E492" s="117"/>
      <c r="F492" s="117"/>
      <c r="G492" s="19">
        <f t="shared" si="288"/>
        <v>-1459</v>
      </c>
      <c r="H492" s="106"/>
      <c r="I492" s="107"/>
      <c r="J492" s="26">
        <f t="shared" si="289"/>
        <v>-1459</v>
      </c>
      <c r="K492" s="117"/>
      <c r="L492" s="117"/>
      <c r="M492" s="38">
        <f t="shared" si="290"/>
        <v>-1459</v>
      </c>
      <c r="N492" s="106"/>
      <c r="O492" s="107"/>
      <c r="P492" s="26">
        <f t="shared" si="291"/>
        <v>-1459</v>
      </c>
      <c r="Q492" s="117"/>
      <c r="R492" s="117"/>
      <c r="S492" s="38">
        <f t="shared" si="292"/>
        <v>-1459</v>
      </c>
      <c r="T492" s="106"/>
      <c r="U492" s="116"/>
      <c r="V492" s="20">
        <f t="shared" si="293"/>
        <v>-1459</v>
      </c>
      <c r="W492" s="143"/>
    </row>
    <row r="493" spans="1:23" ht="15.75" customHeight="1">
      <c r="A493" s="114"/>
      <c r="B493" s="106"/>
      <c r="C493" s="107"/>
      <c r="D493" s="26">
        <f t="shared" si="287"/>
        <v>-1459</v>
      </c>
      <c r="E493" s="117"/>
      <c r="F493" s="117"/>
      <c r="G493" s="19">
        <f t="shared" si="288"/>
        <v>-1459</v>
      </c>
      <c r="H493" s="106"/>
      <c r="I493" s="107"/>
      <c r="J493" s="26">
        <f t="shared" si="289"/>
        <v>-1459</v>
      </c>
      <c r="K493" s="117"/>
      <c r="L493" s="117"/>
      <c r="M493" s="38">
        <f t="shared" si="290"/>
        <v>-1459</v>
      </c>
      <c r="N493" s="106"/>
      <c r="O493" s="107"/>
      <c r="P493" s="26">
        <f t="shared" si="291"/>
        <v>-1459</v>
      </c>
      <c r="Q493" s="117"/>
      <c r="R493" s="117"/>
      <c r="S493" s="38">
        <f t="shared" si="292"/>
        <v>-1459</v>
      </c>
      <c r="T493" s="106"/>
      <c r="U493" s="116"/>
      <c r="V493" s="20">
        <f t="shared" si="293"/>
        <v>-1459</v>
      </c>
      <c r="W493" s="143"/>
    </row>
    <row r="494" spans="1:23" ht="15.75" customHeight="1">
      <c r="A494" s="114"/>
      <c r="B494" s="106"/>
      <c r="C494" s="107"/>
      <c r="D494" s="26">
        <f t="shared" si="287"/>
        <v>-1459</v>
      </c>
      <c r="E494" s="117"/>
      <c r="F494" s="117"/>
      <c r="G494" s="19">
        <f t="shared" si="288"/>
        <v>-1459</v>
      </c>
      <c r="H494" s="106"/>
      <c r="I494" s="107"/>
      <c r="J494" s="26">
        <f t="shared" si="289"/>
        <v>-1459</v>
      </c>
      <c r="K494" s="117"/>
      <c r="L494" s="117"/>
      <c r="M494" s="38">
        <f t="shared" si="290"/>
        <v>-1459</v>
      </c>
      <c r="N494" s="106"/>
      <c r="O494" s="107"/>
      <c r="P494" s="26">
        <f t="shared" si="291"/>
        <v>-1459</v>
      </c>
      <c r="Q494" s="117"/>
      <c r="R494" s="117"/>
      <c r="S494" s="38">
        <f t="shared" si="292"/>
        <v>-1459</v>
      </c>
      <c r="T494" s="106"/>
      <c r="U494" s="116"/>
      <c r="V494" s="20">
        <f t="shared" si="293"/>
        <v>-1459</v>
      </c>
      <c r="W494" s="143"/>
    </row>
    <row r="495" spans="1:23" ht="15.75" customHeight="1">
      <c r="A495" s="114"/>
      <c r="B495" s="106"/>
      <c r="C495" s="107"/>
      <c r="D495" s="26">
        <f t="shared" si="287"/>
        <v>-1459</v>
      </c>
      <c r="E495" s="117"/>
      <c r="F495" s="117"/>
      <c r="G495" s="19">
        <f t="shared" si="288"/>
        <v>-1459</v>
      </c>
      <c r="H495" s="106"/>
      <c r="I495" s="107"/>
      <c r="J495" s="26">
        <f t="shared" si="289"/>
        <v>-1459</v>
      </c>
      <c r="K495" s="117"/>
      <c r="L495" s="117"/>
      <c r="M495" s="38">
        <f t="shared" si="290"/>
        <v>-1459</v>
      </c>
      <c r="N495" s="106"/>
      <c r="O495" s="107"/>
      <c r="P495" s="26">
        <f t="shared" si="291"/>
        <v>-1459</v>
      </c>
      <c r="Q495" s="117"/>
      <c r="R495" s="117"/>
      <c r="S495" s="38">
        <f t="shared" si="292"/>
        <v>-1459</v>
      </c>
      <c r="T495" s="106"/>
      <c r="U495" s="116"/>
      <c r="V495" s="20">
        <f t="shared" si="293"/>
        <v>-1459</v>
      </c>
      <c r="W495" s="143"/>
    </row>
    <row r="496" spans="1:23" ht="15.75" customHeight="1">
      <c r="A496" s="114"/>
      <c r="B496" s="106"/>
      <c r="C496" s="107"/>
      <c r="D496" s="26">
        <f t="shared" si="287"/>
        <v>-1459</v>
      </c>
      <c r="E496" s="117"/>
      <c r="F496" s="117"/>
      <c r="G496" s="19">
        <f t="shared" si="288"/>
        <v>-1459</v>
      </c>
      <c r="H496" s="122"/>
      <c r="I496" s="123"/>
      <c r="J496" s="26">
        <f t="shared" si="289"/>
        <v>-1459</v>
      </c>
      <c r="K496" s="117"/>
      <c r="L496" s="117"/>
      <c r="M496" s="38">
        <f t="shared" si="290"/>
        <v>-1459</v>
      </c>
      <c r="N496" s="122"/>
      <c r="O496" s="123"/>
      <c r="P496" s="26">
        <f t="shared" si="291"/>
        <v>-1459</v>
      </c>
      <c r="Q496" s="117"/>
      <c r="R496" s="117"/>
      <c r="S496" s="38">
        <f t="shared" si="292"/>
        <v>-1459</v>
      </c>
      <c r="T496" s="106"/>
      <c r="U496" s="116"/>
      <c r="V496" s="20">
        <f t="shared" si="293"/>
        <v>-1459</v>
      </c>
      <c r="W496" s="143"/>
    </row>
    <row r="497" spans="1:23" ht="15.75" customHeight="1">
      <c r="A497" s="114"/>
      <c r="B497" s="106"/>
      <c r="C497" s="107"/>
      <c r="D497" s="26">
        <f t="shared" si="287"/>
        <v>-1459</v>
      </c>
      <c r="E497" s="117"/>
      <c r="F497" s="117"/>
      <c r="G497" s="19">
        <f t="shared" si="288"/>
        <v>-1459</v>
      </c>
      <c r="H497" s="122"/>
      <c r="I497" s="123"/>
      <c r="J497" s="26">
        <f t="shared" si="289"/>
        <v>-1459</v>
      </c>
      <c r="K497" s="117"/>
      <c r="L497" s="117"/>
      <c r="M497" s="38">
        <f t="shared" si="290"/>
        <v>-1459</v>
      </c>
      <c r="N497" s="122"/>
      <c r="O497" s="123"/>
      <c r="P497" s="26">
        <f t="shared" si="291"/>
        <v>-1459</v>
      </c>
      <c r="Q497" s="117"/>
      <c r="R497" s="117"/>
      <c r="S497" s="38">
        <f t="shared" si="292"/>
        <v>-1459</v>
      </c>
      <c r="T497" s="122"/>
      <c r="U497" s="124"/>
      <c r="V497" s="20">
        <f t="shared" si="293"/>
        <v>-1459</v>
      </c>
      <c r="W497" s="143"/>
    </row>
    <row r="498" spans="1:23" ht="15.75" customHeight="1">
      <c r="A498" s="114"/>
      <c r="B498" s="122"/>
      <c r="C498" s="123"/>
      <c r="D498" s="39">
        <f t="shared" si="287"/>
        <v>-1459</v>
      </c>
      <c r="E498" s="128"/>
      <c r="F498" s="128"/>
      <c r="G498" s="29">
        <f t="shared" si="288"/>
        <v>-1459</v>
      </c>
      <c r="H498" s="122"/>
      <c r="I498" s="123"/>
      <c r="J498" s="39">
        <f t="shared" si="289"/>
        <v>-1459</v>
      </c>
      <c r="K498" s="128"/>
      <c r="L498" s="128"/>
      <c r="M498" s="40">
        <f t="shared" si="290"/>
        <v>-1459</v>
      </c>
      <c r="N498" s="122"/>
      <c r="O498" s="123"/>
      <c r="P498" s="39">
        <f t="shared" si="291"/>
        <v>-1459</v>
      </c>
      <c r="Q498" s="128"/>
      <c r="R498" s="128"/>
      <c r="S498" s="40">
        <f t="shared" si="292"/>
        <v>-1459</v>
      </c>
      <c r="T498" s="122"/>
      <c r="U498" s="123"/>
      <c r="V498" s="49">
        <f t="shared" si="293"/>
        <v>-1459</v>
      </c>
      <c r="W498" s="143"/>
    </row>
    <row r="499" spans="1:23" ht="15.75" customHeight="1">
      <c r="A499" s="87"/>
      <c r="B499" s="77">
        <f ca="1">IFERROR(__xludf.DUMMYFUNCTION("DATE(VALUE(LEFT($B$2,4)),VALUE(MID($B$2,6,2)),VALUE(RIGHT($B$2,2)))
+ (VALUE(REGEXEXTRACT(INDIRECT(""A""&amp;ROW()+1),""\d+""))-1)*7
+ INT((COLUMN()-COLUMN($B499))/3)
"),47412)</f>
        <v>47412</v>
      </c>
      <c r="C499" s="81"/>
      <c r="D499" s="82"/>
      <c r="E499" s="77">
        <f ca="1">IFERROR(__xludf.DUMMYFUNCTION("DATE(VALUE(LEFT($B$2,4)),VALUE(MID($B$2,6,2)),VALUE(RIGHT($B$2,2)))
+ (VALUE(REGEXEXTRACT(INDIRECT(""A""&amp;ROW()+1),""\d+""))-1)*7
+ INT((COLUMN()-COLUMN($B499))/3)
"),47413)</f>
        <v>47413</v>
      </c>
      <c r="F499" s="81"/>
      <c r="G499" s="82"/>
      <c r="H499" s="77">
        <f ca="1">IFERROR(__xludf.DUMMYFUNCTION("DATE(VALUE(LEFT($B$2,4)),VALUE(MID($B$2,6,2)),VALUE(RIGHT($B$2,2)))
+ (VALUE(REGEXEXTRACT(INDIRECT(""A""&amp;ROW()+1),""\d+""))-1)*7
+ INT((COLUMN()-COLUMN($B499))/3)
"),47414)</f>
        <v>47414</v>
      </c>
      <c r="I499" s="81"/>
      <c r="J499" s="82"/>
      <c r="K499" s="77">
        <f ca="1">IFERROR(__xludf.DUMMYFUNCTION("DATE(VALUE(LEFT($B$2,4)),VALUE(MID($B$2,6,2)),VALUE(RIGHT($B$2,2)))
+ (VALUE(REGEXEXTRACT(INDIRECT(""A""&amp;ROW()+1),""\d+""))-1)*7
+ INT((COLUMN()-COLUMN($B499))/3)
"),47415)</f>
        <v>47415</v>
      </c>
      <c r="L499" s="81"/>
      <c r="M499" s="82"/>
      <c r="N499" s="77">
        <f ca="1">IFERROR(__xludf.DUMMYFUNCTION("DATE(VALUE(LEFT($B$2,4)),VALUE(MID($B$2,6,2)),VALUE(RIGHT($B$2,2)))
+ (VALUE(REGEXEXTRACT(INDIRECT(""A""&amp;ROW()+1),""\d+""))-1)*7
+ INT((COLUMN()-COLUMN($B499))/3)
"),47416)</f>
        <v>47416</v>
      </c>
      <c r="O499" s="81"/>
      <c r="P499" s="82"/>
      <c r="Q499" s="77">
        <f ca="1">IFERROR(__xludf.DUMMYFUNCTION("DATE(VALUE(LEFT($B$2,4)),VALUE(MID($B$2,6,2)),VALUE(RIGHT($B$2,2)))
+ (VALUE(REGEXEXTRACT(INDIRECT(""A""&amp;ROW()+1),""\d+""))-1)*7
+ INT((COLUMN()-COLUMN($B499))/3)
"),47417)</f>
        <v>47417</v>
      </c>
      <c r="R499" s="81"/>
      <c r="S499" s="82"/>
      <c r="T499" s="77">
        <f ca="1">IFERROR(__xludf.DUMMYFUNCTION("DATE(VALUE(LEFT($B$2,4)),VALUE(MID($B$2,6,2)),VALUE(RIGHT($B$2,2)))
+ (VALUE(REGEXEXTRACT(INDIRECT(""A""&amp;ROW()+1),""\d+""))-1)*7
+ INT((COLUMN()-COLUMN($B499))/3)
"),47418)</f>
        <v>47418</v>
      </c>
      <c r="U499" s="81"/>
      <c r="V499" s="82"/>
      <c r="W499" s="52" t="s">
        <v>20</v>
      </c>
    </row>
    <row r="500" spans="1:23" ht="15.75" customHeight="1">
      <c r="A500" s="47" t="s">
        <v>171</v>
      </c>
      <c r="B500" s="113"/>
      <c r="C500" s="109"/>
      <c r="D500" s="42">
        <f>V498+C500</f>
        <v>-1459</v>
      </c>
      <c r="E500" s="112"/>
      <c r="F500" s="111"/>
      <c r="G500" s="36">
        <f>D510+F500</f>
        <v>-1459</v>
      </c>
      <c r="H500" s="132"/>
      <c r="I500" s="109"/>
      <c r="J500" s="42">
        <f>G510+I500</f>
        <v>-1459</v>
      </c>
      <c r="K500" s="112"/>
      <c r="L500" s="111"/>
      <c r="M500" s="18">
        <f>J510+L500</f>
        <v>-1459</v>
      </c>
      <c r="N500" s="113"/>
      <c r="O500" s="109"/>
      <c r="P500" s="35">
        <f>M510+O500</f>
        <v>-1459</v>
      </c>
      <c r="Q500" s="112"/>
      <c r="R500" s="111"/>
      <c r="S500" s="18">
        <f>P510+R500</f>
        <v>-1459</v>
      </c>
      <c r="T500" s="173"/>
      <c r="U500" s="173"/>
      <c r="V500" s="50">
        <f>S510+U500</f>
        <v>-1459</v>
      </c>
      <c r="W500" s="172"/>
    </row>
    <row r="501" spans="1:23" ht="15.75" customHeight="1">
      <c r="A501" s="114"/>
      <c r="B501" s="118"/>
      <c r="C501" s="117"/>
      <c r="D501" s="19">
        <f t="shared" ref="D501:D510" si="294">D500+C501</f>
        <v>-1459</v>
      </c>
      <c r="E501" s="106"/>
      <c r="F501" s="107"/>
      <c r="G501" s="26">
        <f t="shared" ref="G501:G510" si="295">G500+F501</f>
        <v>-1459</v>
      </c>
      <c r="H501" s="133"/>
      <c r="I501" s="117"/>
      <c r="J501" s="19">
        <f t="shared" ref="J501:J510" si="296">J500+I501</f>
        <v>-1459</v>
      </c>
      <c r="K501" s="106"/>
      <c r="L501" s="107"/>
      <c r="M501" s="26">
        <f t="shared" ref="M501:M510" si="297">M500+L501</f>
        <v>-1459</v>
      </c>
      <c r="N501" s="118"/>
      <c r="O501" s="117"/>
      <c r="P501" s="38">
        <f t="shared" ref="P501:P510" si="298">P500+O501</f>
        <v>-1459</v>
      </c>
      <c r="Q501" s="106"/>
      <c r="R501" s="107"/>
      <c r="S501" s="26">
        <f t="shared" ref="S501:S510" si="299">S500+R501</f>
        <v>-1459</v>
      </c>
      <c r="T501" s="136"/>
      <c r="U501" s="136"/>
      <c r="V501" s="45">
        <f t="shared" ref="V501:V510" si="300">V500+U501</f>
        <v>-1459</v>
      </c>
      <c r="W501" s="143"/>
    </row>
    <row r="502" spans="1:23" ht="15.75" customHeight="1">
      <c r="A502" s="114"/>
      <c r="B502" s="118"/>
      <c r="C502" s="117"/>
      <c r="D502" s="19">
        <f t="shared" si="294"/>
        <v>-1459</v>
      </c>
      <c r="E502" s="106"/>
      <c r="F502" s="107"/>
      <c r="G502" s="26">
        <f t="shared" si="295"/>
        <v>-1459</v>
      </c>
      <c r="H502" s="133"/>
      <c r="I502" s="117"/>
      <c r="J502" s="19">
        <f t="shared" si="296"/>
        <v>-1459</v>
      </c>
      <c r="K502" s="106"/>
      <c r="L502" s="107"/>
      <c r="M502" s="26">
        <f t="shared" si="297"/>
        <v>-1459</v>
      </c>
      <c r="N502" s="117"/>
      <c r="O502" s="117"/>
      <c r="P502" s="38">
        <f t="shared" si="298"/>
        <v>-1459</v>
      </c>
      <c r="Q502" s="106"/>
      <c r="R502" s="107"/>
      <c r="S502" s="26">
        <f t="shared" si="299"/>
        <v>-1459</v>
      </c>
      <c r="T502" s="136"/>
      <c r="U502" s="136"/>
      <c r="V502" s="45">
        <f t="shared" si="300"/>
        <v>-1459</v>
      </c>
      <c r="W502" s="143"/>
    </row>
    <row r="503" spans="1:23" ht="15.75" customHeight="1">
      <c r="A503" s="114"/>
      <c r="B503" s="118"/>
      <c r="C503" s="117"/>
      <c r="D503" s="19">
        <f t="shared" si="294"/>
        <v>-1459</v>
      </c>
      <c r="E503" s="106"/>
      <c r="F503" s="107"/>
      <c r="G503" s="26">
        <f t="shared" si="295"/>
        <v>-1459</v>
      </c>
      <c r="H503" s="133"/>
      <c r="I503" s="117"/>
      <c r="J503" s="19">
        <f t="shared" si="296"/>
        <v>-1459</v>
      </c>
      <c r="K503" s="106"/>
      <c r="L503" s="107"/>
      <c r="M503" s="26">
        <f t="shared" si="297"/>
        <v>-1459</v>
      </c>
      <c r="N503" s="117"/>
      <c r="O503" s="117"/>
      <c r="P503" s="38">
        <f t="shared" si="298"/>
        <v>-1459</v>
      </c>
      <c r="Q503" s="106"/>
      <c r="R503" s="107"/>
      <c r="S503" s="26">
        <f t="shared" si="299"/>
        <v>-1459</v>
      </c>
      <c r="T503" s="136"/>
      <c r="U503" s="136"/>
      <c r="V503" s="45">
        <f t="shared" si="300"/>
        <v>-1459</v>
      </c>
      <c r="W503" s="143"/>
    </row>
    <row r="504" spans="1:23" ht="15.75" customHeight="1">
      <c r="A504" s="114"/>
      <c r="B504" s="118"/>
      <c r="C504" s="117"/>
      <c r="D504" s="19">
        <f t="shared" si="294"/>
        <v>-1459</v>
      </c>
      <c r="E504" s="106"/>
      <c r="F504" s="107"/>
      <c r="G504" s="26">
        <f t="shared" si="295"/>
        <v>-1459</v>
      </c>
      <c r="H504" s="133"/>
      <c r="I504" s="117"/>
      <c r="J504" s="19">
        <f t="shared" si="296"/>
        <v>-1459</v>
      </c>
      <c r="K504" s="106"/>
      <c r="L504" s="107"/>
      <c r="M504" s="26">
        <f t="shared" si="297"/>
        <v>-1459</v>
      </c>
      <c r="N504" s="117"/>
      <c r="O504" s="117"/>
      <c r="P504" s="38">
        <f t="shared" si="298"/>
        <v>-1459</v>
      </c>
      <c r="Q504" s="106"/>
      <c r="R504" s="107"/>
      <c r="S504" s="26">
        <f t="shared" si="299"/>
        <v>-1459</v>
      </c>
      <c r="T504" s="136"/>
      <c r="U504" s="136"/>
      <c r="V504" s="45">
        <f t="shared" si="300"/>
        <v>-1459</v>
      </c>
      <c r="W504" s="143"/>
    </row>
    <row r="505" spans="1:23" ht="15.75" customHeight="1">
      <c r="A505" s="114"/>
      <c r="B505" s="118"/>
      <c r="C505" s="117"/>
      <c r="D505" s="19">
        <f t="shared" si="294"/>
        <v>-1459</v>
      </c>
      <c r="E505" s="106"/>
      <c r="F505" s="107"/>
      <c r="G505" s="26">
        <f t="shared" si="295"/>
        <v>-1459</v>
      </c>
      <c r="H505" s="133"/>
      <c r="I505" s="117"/>
      <c r="J505" s="19">
        <f t="shared" si="296"/>
        <v>-1459</v>
      </c>
      <c r="K505" s="106"/>
      <c r="L505" s="107"/>
      <c r="M505" s="26">
        <f t="shared" si="297"/>
        <v>-1459</v>
      </c>
      <c r="N505" s="117"/>
      <c r="O505" s="117"/>
      <c r="P505" s="38">
        <f t="shared" si="298"/>
        <v>-1459</v>
      </c>
      <c r="Q505" s="106"/>
      <c r="R505" s="107"/>
      <c r="S505" s="26">
        <f t="shared" si="299"/>
        <v>-1459</v>
      </c>
      <c r="T505" s="136"/>
      <c r="U505" s="136"/>
      <c r="V505" s="45">
        <f t="shared" si="300"/>
        <v>-1459</v>
      </c>
      <c r="W505" s="143"/>
    </row>
    <row r="506" spans="1:23" ht="15.75" customHeight="1">
      <c r="A506" s="114"/>
      <c r="B506" s="117"/>
      <c r="C506" s="117"/>
      <c r="D506" s="19">
        <f t="shared" si="294"/>
        <v>-1459</v>
      </c>
      <c r="E506" s="106"/>
      <c r="F506" s="107"/>
      <c r="G506" s="26">
        <f t="shared" si="295"/>
        <v>-1459</v>
      </c>
      <c r="H506" s="133"/>
      <c r="I506" s="117"/>
      <c r="J506" s="19">
        <f t="shared" si="296"/>
        <v>-1459</v>
      </c>
      <c r="K506" s="106"/>
      <c r="L506" s="107"/>
      <c r="M506" s="26">
        <f t="shared" si="297"/>
        <v>-1459</v>
      </c>
      <c r="N506" s="117"/>
      <c r="O506" s="117"/>
      <c r="P506" s="38">
        <f t="shared" si="298"/>
        <v>-1459</v>
      </c>
      <c r="Q506" s="106"/>
      <c r="R506" s="107"/>
      <c r="S506" s="26">
        <f t="shared" si="299"/>
        <v>-1459</v>
      </c>
      <c r="T506" s="136"/>
      <c r="U506" s="136"/>
      <c r="V506" s="45">
        <f t="shared" si="300"/>
        <v>-1459</v>
      </c>
      <c r="W506" s="143"/>
    </row>
    <row r="507" spans="1:23" ht="15.75" customHeight="1">
      <c r="A507" s="114"/>
      <c r="B507" s="117"/>
      <c r="C507" s="117"/>
      <c r="D507" s="19">
        <f t="shared" si="294"/>
        <v>-1459</v>
      </c>
      <c r="E507" s="106"/>
      <c r="F507" s="107"/>
      <c r="G507" s="26">
        <f t="shared" si="295"/>
        <v>-1459</v>
      </c>
      <c r="H507" s="133"/>
      <c r="I507" s="117"/>
      <c r="J507" s="19">
        <f t="shared" si="296"/>
        <v>-1459</v>
      </c>
      <c r="K507" s="106"/>
      <c r="L507" s="107"/>
      <c r="M507" s="26">
        <f t="shared" si="297"/>
        <v>-1459</v>
      </c>
      <c r="N507" s="117"/>
      <c r="O507" s="117"/>
      <c r="P507" s="38">
        <f t="shared" si="298"/>
        <v>-1459</v>
      </c>
      <c r="Q507" s="106"/>
      <c r="R507" s="107"/>
      <c r="S507" s="26">
        <f t="shared" si="299"/>
        <v>-1459</v>
      </c>
      <c r="T507" s="136"/>
      <c r="U507" s="136"/>
      <c r="V507" s="45">
        <f t="shared" si="300"/>
        <v>-1459</v>
      </c>
      <c r="W507" s="143"/>
    </row>
    <row r="508" spans="1:23" ht="15.75" customHeight="1">
      <c r="A508" s="114"/>
      <c r="B508" s="117"/>
      <c r="C508" s="117"/>
      <c r="D508" s="19">
        <f t="shared" si="294"/>
        <v>-1459</v>
      </c>
      <c r="E508" s="106"/>
      <c r="F508" s="107"/>
      <c r="G508" s="26">
        <f t="shared" si="295"/>
        <v>-1459</v>
      </c>
      <c r="H508" s="133"/>
      <c r="I508" s="117"/>
      <c r="J508" s="19">
        <f t="shared" si="296"/>
        <v>-1459</v>
      </c>
      <c r="K508" s="106"/>
      <c r="L508" s="107"/>
      <c r="M508" s="26">
        <f t="shared" si="297"/>
        <v>-1459</v>
      </c>
      <c r="N508" s="117"/>
      <c r="O508" s="117"/>
      <c r="P508" s="38">
        <f t="shared" si="298"/>
        <v>-1459</v>
      </c>
      <c r="Q508" s="106"/>
      <c r="R508" s="107"/>
      <c r="S508" s="26">
        <f t="shared" si="299"/>
        <v>-1459</v>
      </c>
      <c r="T508" s="136"/>
      <c r="U508" s="136"/>
      <c r="V508" s="45">
        <f t="shared" si="300"/>
        <v>-1459</v>
      </c>
      <c r="W508" s="143"/>
    </row>
    <row r="509" spans="1:23" ht="15.75" customHeight="1">
      <c r="A509" s="114"/>
      <c r="B509" s="117"/>
      <c r="C509" s="117"/>
      <c r="D509" s="19">
        <f t="shared" si="294"/>
        <v>-1459</v>
      </c>
      <c r="E509" s="122"/>
      <c r="F509" s="123"/>
      <c r="G509" s="26">
        <f t="shared" si="295"/>
        <v>-1459</v>
      </c>
      <c r="H509" s="133"/>
      <c r="I509" s="117"/>
      <c r="J509" s="19">
        <f t="shared" si="296"/>
        <v>-1459</v>
      </c>
      <c r="K509" s="122"/>
      <c r="L509" s="123"/>
      <c r="M509" s="26">
        <f t="shared" si="297"/>
        <v>-1459</v>
      </c>
      <c r="N509" s="117"/>
      <c r="O509" s="117"/>
      <c r="P509" s="38">
        <f t="shared" si="298"/>
        <v>-1459</v>
      </c>
      <c r="Q509" s="122"/>
      <c r="R509" s="123"/>
      <c r="S509" s="26">
        <f t="shared" si="299"/>
        <v>-1459</v>
      </c>
      <c r="T509" s="136"/>
      <c r="U509" s="136"/>
      <c r="V509" s="45">
        <f t="shared" si="300"/>
        <v>-1459</v>
      </c>
      <c r="W509" s="143"/>
    </row>
    <row r="510" spans="1:23" ht="15.75" customHeight="1">
      <c r="A510" s="114"/>
      <c r="B510" s="128"/>
      <c r="C510" s="128"/>
      <c r="D510" s="29">
        <f t="shared" si="294"/>
        <v>-1459</v>
      </c>
      <c r="E510" s="122"/>
      <c r="F510" s="123"/>
      <c r="G510" s="53">
        <f t="shared" si="295"/>
        <v>-1459</v>
      </c>
      <c r="H510" s="140"/>
      <c r="I510" s="128"/>
      <c r="J510" s="29">
        <f t="shared" si="296"/>
        <v>-1459</v>
      </c>
      <c r="K510" s="122"/>
      <c r="L510" s="123"/>
      <c r="M510" s="39">
        <f t="shared" si="297"/>
        <v>-1459</v>
      </c>
      <c r="N510" s="128"/>
      <c r="O510" s="128"/>
      <c r="P510" s="40">
        <f t="shared" si="298"/>
        <v>-1459</v>
      </c>
      <c r="Q510" s="122"/>
      <c r="R510" s="123"/>
      <c r="S510" s="39">
        <f t="shared" si="299"/>
        <v>-1459</v>
      </c>
      <c r="T510" s="141"/>
      <c r="U510" s="141"/>
      <c r="V510" s="46">
        <f t="shared" si="300"/>
        <v>-1459</v>
      </c>
      <c r="W510" s="143"/>
    </row>
    <row r="511" spans="1:23" ht="15.75" customHeight="1">
      <c r="A511" s="87"/>
      <c r="B511" s="77">
        <f ca="1">IFERROR(__xludf.DUMMYFUNCTION("DATE(VALUE(LEFT($B$2,4)),VALUE(MID($B$2,6,2)),VALUE(RIGHT($B$2,2)))
+ (VALUE(REGEXEXTRACT(INDIRECT(""A""&amp;ROW()+1),""\d+""))-1)*7
+ INT((COLUMN()-COLUMN($B511))/3)
"),47419)</f>
        <v>47419</v>
      </c>
      <c r="C511" s="81"/>
      <c r="D511" s="82"/>
      <c r="E511" s="77">
        <f ca="1">IFERROR(__xludf.DUMMYFUNCTION("DATE(VALUE(LEFT($B$2,4)),VALUE(MID($B$2,6,2)),VALUE(RIGHT($B$2,2)))
+ (VALUE(REGEXEXTRACT(INDIRECT(""A""&amp;ROW()+1),""\d+""))-1)*7
+ INT((COLUMN()-COLUMN($B511))/3)
"),47420)</f>
        <v>47420</v>
      </c>
      <c r="F511" s="81"/>
      <c r="G511" s="82"/>
      <c r="H511" s="77">
        <f ca="1">IFERROR(__xludf.DUMMYFUNCTION("DATE(VALUE(LEFT($B$2,4)),VALUE(MID($B$2,6,2)),VALUE(RIGHT($B$2,2)))
+ (VALUE(REGEXEXTRACT(INDIRECT(""A""&amp;ROW()+1),""\d+""))-1)*7
+ INT((COLUMN()-COLUMN($B511))/3)
"),47421)</f>
        <v>47421</v>
      </c>
      <c r="I511" s="81"/>
      <c r="J511" s="82"/>
      <c r="K511" s="77">
        <f ca="1">IFERROR(__xludf.DUMMYFUNCTION("DATE(VALUE(LEFT($B$2,4)),VALUE(MID($B$2,6,2)),VALUE(RIGHT($B$2,2)))
+ (VALUE(REGEXEXTRACT(INDIRECT(""A""&amp;ROW()+1),""\d+""))-1)*7
+ INT((COLUMN()-COLUMN($B511))/3)
"),47422)</f>
        <v>47422</v>
      </c>
      <c r="L511" s="81"/>
      <c r="M511" s="82"/>
      <c r="N511" s="77">
        <f ca="1">IFERROR(__xludf.DUMMYFUNCTION("DATE(VALUE(LEFT($B$2,4)),VALUE(MID($B$2,6,2)),VALUE(RIGHT($B$2,2)))
+ (VALUE(REGEXEXTRACT(INDIRECT(""A""&amp;ROW()+1),""\d+""))-1)*7
+ INT((COLUMN()-COLUMN($B511))/3)
"),47423)</f>
        <v>47423</v>
      </c>
      <c r="O511" s="81"/>
      <c r="P511" s="82"/>
      <c r="Q511" s="77">
        <f ca="1">IFERROR(__xludf.DUMMYFUNCTION("DATE(VALUE(LEFT($B$2,4)),VALUE(MID($B$2,6,2)),VALUE(RIGHT($B$2,2)))
+ (VALUE(REGEXEXTRACT(INDIRECT(""A""&amp;ROW()+1),""\d+""))-1)*7
+ INT((COLUMN()-COLUMN($B511))/3)
"),47424)</f>
        <v>47424</v>
      </c>
      <c r="R511" s="81"/>
      <c r="S511" s="82"/>
      <c r="T511" s="77">
        <f ca="1">IFERROR(__xludf.DUMMYFUNCTION("DATE(VALUE(LEFT($B$2,4)),VALUE(MID($B$2,6,2)),VALUE(RIGHT($B$2,2)))
+ (VALUE(REGEXEXTRACT(INDIRECT(""A""&amp;ROW()+1),""\d+""))-1)*7
+ INT((COLUMN()-COLUMN($B511))/3)
"),47425)</f>
        <v>47425</v>
      </c>
      <c r="U511" s="81"/>
      <c r="V511" s="82"/>
      <c r="W511" s="143"/>
    </row>
    <row r="512" spans="1:23" ht="15.75" customHeight="1">
      <c r="A512" s="51" t="s">
        <v>172</v>
      </c>
      <c r="B512" s="112"/>
      <c r="C512" s="111"/>
      <c r="D512" s="17">
        <f>V510+C512</f>
        <v>-1459</v>
      </c>
      <c r="E512" s="109"/>
      <c r="F512" s="109"/>
      <c r="G512" s="54">
        <f>D522+F512</f>
        <v>-1459</v>
      </c>
      <c r="H512" s="110"/>
      <c r="I512" s="111"/>
      <c r="J512" s="17">
        <f>G522+I512</f>
        <v>-1459</v>
      </c>
      <c r="K512" s="109"/>
      <c r="L512" s="109"/>
      <c r="M512" s="35">
        <f>J522+L512</f>
        <v>-1459</v>
      </c>
      <c r="N512" s="112"/>
      <c r="O512" s="111"/>
      <c r="P512" s="17">
        <f>M522+O512</f>
        <v>-1459</v>
      </c>
      <c r="Q512" s="109"/>
      <c r="R512" s="109"/>
      <c r="S512" s="35">
        <f>P522+R512</f>
        <v>-1459</v>
      </c>
      <c r="T512" s="112"/>
      <c r="U512" s="111"/>
      <c r="V512" s="48">
        <f>S522+U512</f>
        <v>-1459</v>
      </c>
      <c r="W512" s="143"/>
    </row>
    <row r="513" spans="1:23" ht="15.75" customHeight="1">
      <c r="A513" s="114"/>
      <c r="B513" s="106"/>
      <c r="C513" s="107"/>
      <c r="D513" s="26">
        <f t="shared" ref="D513:D522" si="301">D512+C513</f>
        <v>-1459</v>
      </c>
      <c r="E513" s="117"/>
      <c r="F513" s="117"/>
      <c r="G513" s="19">
        <f t="shared" ref="G513:G522" si="302">G512+F513</f>
        <v>-1459</v>
      </c>
      <c r="H513" s="116"/>
      <c r="I513" s="107"/>
      <c r="J513" s="26">
        <f t="shared" ref="J513:J522" si="303">J512+I513</f>
        <v>-1459</v>
      </c>
      <c r="K513" s="117"/>
      <c r="L513" s="117"/>
      <c r="M513" s="38">
        <f t="shared" ref="M513:M522" si="304">M512+L513</f>
        <v>-1459</v>
      </c>
      <c r="N513" s="106"/>
      <c r="O513" s="107"/>
      <c r="P513" s="26">
        <f t="shared" ref="P513:P522" si="305">P512+O513</f>
        <v>-1459</v>
      </c>
      <c r="Q513" s="117"/>
      <c r="R513" s="117"/>
      <c r="S513" s="38">
        <f t="shared" ref="S513:S522" si="306">S512+R513</f>
        <v>-1459</v>
      </c>
      <c r="T513" s="106"/>
      <c r="U513" s="107"/>
      <c r="V513" s="20">
        <f t="shared" ref="V513:V522" si="307">V512+U513</f>
        <v>-1459</v>
      </c>
      <c r="W513" s="143"/>
    </row>
    <row r="514" spans="1:23" ht="15.75" customHeight="1">
      <c r="A514" s="114"/>
      <c r="B514" s="106"/>
      <c r="C514" s="107"/>
      <c r="D514" s="26">
        <f t="shared" si="301"/>
        <v>-1459</v>
      </c>
      <c r="E514" s="117"/>
      <c r="F514" s="117"/>
      <c r="G514" s="19">
        <f t="shared" si="302"/>
        <v>-1459</v>
      </c>
      <c r="H514" s="116"/>
      <c r="I514" s="107"/>
      <c r="J514" s="26">
        <f t="shared" si="303"/>
        <v>-1459</v>
      </c>
      <c r="K514" s="117"/>
      <c r="L514" s="117"/>
      <c r="M514" s="38">
        <f t="shared" si="304"/>
        <v>-1459</v>
      </c>
      <c r="N514" s="106"/>
      <c r="O514" s="107"/>
      <c r="P514" s="26">
        <f t="shared" si="305"/>
        <v>-1459</v>
      </c>
      <c r="Q514" s="117"/>
      <c r="R514" s="117"/>
      <c r="S514" s="38">
        <f t="shared" si="306"/>
        <v>-1459</v>
      </c>
      <c r="T514" s="106"/>
      <c r="U514" s="116"/>
      <c r="V514" s="20">
        <f t="shared" si="307"/>
        <v>-1459</v>
      </c>
      <c r="W514" s="143"/>
    </row>
    <row r="515" spans="1:23" ht="15.75" customHeight="1">
      <c r="A515" s="114"/>
      <c r="B515" s="106"/>
      <c r="C515" s="107"/>
      <c r="D515" s="26">
        <f t="shared" si="301"/>
        <v>-1459</v>
      </c>
      <c r="E515" s="117"/>
      <c r="F515" s="117"/>
      <c r="G515" s="19">
        <f t="shared" si="302"/>
        <v>-1459</v>
      </c>
      <c r="H515" s="116"/>
      <c r="I515" s="107"/>
      <c r="J515" s="26">
        <f t="shared" si="303"/>
        <v>-1459</v>
      </c>
      <c r="K515" s="117"/>
      <c r="L515" s="117"/>
      <c r="M515" s="38">
        <f t="shared" si="304"/>
        <v>-1459</v>
      </c>
      <c r="N515" s="106"/>
      <c r="O515" s="107"/>
      <c r="P515" s="26">
        <f t="shared" si="305"/>
        <v>-1459</v>
      </c>
      <c r="Q515" s="117"/>
      <c r="R515" s="117"/>
      <c r="S515" s="38">
        <f t="shared" si="306"/>
        <v>-1459</v>
      </c>
      <c r="T515" s="106"/>
      <c r="U515" s="116"/>
      <c r="V515" s="20">
        <f t="shared" si="307"/>
        <v>-1459</v>
      </c>
      <c r="W515" s="143"/>
    </row>
    <row r="516" spans="1:23" ht="15.75" customHeight="1">
      <c r="A516" s="114"/>
      <c r="B516" s="106"/>
      <c r="C516" s="107"/>
      <c r="D516" s="26">
        <f t="shared" si="301"/>
        <v>-1459</v>
      </c>
      <c r="E516" s="117"/>
      <c r="F516" s="117"/>
      <c r="G516" s="19">
        <f t="shared" si="302"/>
        <v>-1459</v>
      </c>
      <c r="H516" s="116"/>
      <c r="I516" s="107"/>
      <c r="J516" s="26">
        <f t="shared" si="303"/>
        <v>-1459</v>
      </c>
      <c r="K516" s="117"/>
      <c r="L516" s="117"/>
      <c r="M516" s="38">
        <f t="shared" si="304"/>
        <v>-1459</v>
      </c>
      <c r="N516" s="106"/>
      <c r="O516" s="107"/>
      <c r="P516" s="26">
        <f t="shared" si="305"/>
        <v>-1459</v>
      </c>
      <c r="Q516" s="117"/>
      <c r="R516" s="117"/>
      <c r="S516" s="38">
        <f t="shared" si="306"/>
        <v>-1459</v>
      </c>
      <c r="T516" s="106"/>
      <c r="U516" s="116"/>
      <c r="V516" s="20">
        <f t="shared" si="307"/>
        <v>-1459</v>
      </c>
      <c r="W516" s="143"/>
    </row>
    <row r="517" spans="1:23" ht="15.75" customHeight="1">
      <c r="A517" s="114"/>
      <c r="B517" s="106"/>
      <c r="C517" s="107"/>
      <c r="D517" s="26">
        <f t="shared" si="301"/>
        <v>-1459</v>
      </c>
      <c r="E517" s="117"/>
      <c r="F517" s="117"/>
      <c r="G517" s="19">
        <f t="shared" si="302"/>
        <v>-1459</v>
      </c>
      <c r="H517" s="116"/>
      <c r="I517" s="107"/>
      <c r="J517" s="26">
        <f t="shared" si="303"/>
        <v>-1459</v>
      </c>
      <c r="K517" s="117"/>
      <c r="L517" s="117"/>
      <c r="M517" s="38">
        <f t="shared" si="304"/>
        <v>-1459</v>
      </c>
      <c r="N517" s="106"/>
      <c r="O517" s="107"/>
      <c r="P517" s="26">
        <f t="shared" si="305"/>
        <v>-1459</v>
      </c>
      <c r="Q517" s="117"/>
      <c r="R517" s="117"/>
      <c r="S517" s="38">
        <f t="shared" si="306"/>
        <v>-1459</v>
      </c>
      <c r="T517" s="106"/>
      <c r="U517" s="116"/>
      <c r="V517" s="20">
        <f t="shared" si="307"/>
        <v>-1459</v>
      </c>
      <c r="W517" s="143"/>
    </row>
    <row r="518" spans="1:23" ht="15.75" customHeight="1">
      <c r="A518" s="114"/>
      <c r="B518" s="106"/>
      <c r="C518" s="107"/>
      <c r="D518" s="26">
        <f t="shared" si="301"/>
        <v>-1459</v>
      </c>
      <c r="E518" s="117"/>
      <c r="F518" s="117"/>
      <c r="G518" s="19">
        <f t="shared" si="302"/>
        <v>-1459</v>
      </c>
      <c r="H518" s="116"/>
      <c r="I518" s="107"/>
      <c r="J518" s="26">
        <f t="shared" si="303"/>
        <v>-1459</v>
      </c>
      <c r="K518" s="117"/>
      <c r="L518" s="117"/>
      <c r="M518" s="38">
        <f t="shared" si="304"/>
        <v>-1459</v>
      </c>
      <c r="N518" s="106"/>
      <c r="O518" s="107"/>
      <c r="P518" s="26">
        <f t="shared" si="305"/>
        <v>-1459</v>
      </c>
      <c r="Q518" s="117"/>
      <c r="R518" s="117"/>
      <c r="S518" s="38">
        <f t="shared" si="306"/>
        <v>-1459</v>
      </c>
      <c r="T518" s="106"/>
      <c r="U518" s="116"/>
      <c r="V518" s="20">
        <f t="shared" si="307"/>
        <v>-1459</v>
      </c>
      <c r="W518" s="143"/>
    </row>
    <row r="519" spans="1:23" ht="15.75" customHeight="1">
      <c r="A519" s="114"/>
      <c r="B519" s="106"/>
      <c r="C519" s="107"/>
      <c r="D519" s="26">
        <f t="shared" si="301"/>
        <v>-1459</v>
      </c>
      <c r="E519" s="117"/>
      <c r="F519" s="117"/>
      <c r="G519" s="19">
        <f t="shared" si="302"/>
        <v>-1459</v>
      </c>
      <c r="H519" s="116"/>
      <c r="I519" s="107"/>
      <c r="J519" s="26">
        <f t="shared" si="303"/>
        <v>-1459</v>
      </c>
      <c r="K519" s="117"/>
      <c r="L519" s="117"/>
      <c r="M519" s="38">
        <f t="shared" si="304"/>
        <v>-1459</v>
      </c>
      <c r="N519" s="106"/>
      <c r="O519" s="107"/>
      <c r="P519" s="26">
        <f t="shared" si="305"/>
        <v>-1459</v>
      </c>
      <c r="Q519" s="117"/>
      <c r="R519" s="117"/>
      <c r="S519" s="38">
        <f t="shared" si="306"/>
        <v>-1459</v>
      </c>
      <c r="T519" s="106"/>
      <c r="U519" s="116"/>
      <c r="V519" s="20">
        <f t="shared" si="307"/>
        <v>-1459</v>
      </c>
      <c r="W519" s="143"/>
    </row>
    <row r="520" spans="1:23" ht="15.75" customHeight="1">
      <c r="A520" s="114"/>
      <c r="B520" s="122"/>
      <c r="C520" s="123"/>
      <c r="D520" s="26">
        <f t="shared" si="301"/>
        <v>-1459</v>
      </c>
      <c r="E520" s="117"/>
      <c r="F520" s="117"/>
      <c r="G520" s="19">
        <f t="shared" si="302"/>
        <v>-1459</v>
      </c>
      <c r="H520" s="124"/>
      <c r="I520" s="123"/>
      <c r="J520" s="26">
        <f t="shared" si="303"/>
        <v>-1459</v>
      </c>
      <c r="K520" s="117"/>
      <c r="L520" s="117"/>
      <c r="M520" s="38">
        <f t="shared" si="304"/>
        <v>-1459</v>
      </c>
      <c r="N520" s="122"/>
      <c r="O520" s="123"/>
      <c r="P520" s="26">
        <f t="shared" si="305"/>
        <v>-1459</v>
      </c>
      <c r="Q520" s="117"/>
      <c r="R520" s="117"/>
      <c r="S520" s="38">
        <f t="shared" si="306"/>
        <v>-1459</v>
      </c>
      <c r="T520" s="106"/>
      <c r="U520" s="116"/>
      <c r="V520" s="20">
        <f t="shared" si="307"/>
        <v>-1459</v>
      </c>
      <c r="W520" s="143"/>
    </row>
    <row r="521" spans="1:23" ht="15.75" customHeight="1">
      <c r="A521" s="114"/>
      <c r="B521" s="122"/>
      <c r="C521" s="123"/>
      <c r="D521" s="26">
        <f t="shared" si="301"/>
        <v>-1459</v>
      </c>
      <c r="E521" s="117"/>
      <c r="F521" s="117"/>
      <c r="G521" s="19">
        <f t="shared" si="302"/>
        <v>-1459</v>
      </c>
      <c r="H521" s="124"/>
      <c r="I521" s="123"/>
      <c r="J521" s="26">
        <f t="shared" si="303"/>
        <v>-1459</v>
      </c>
      <c r="K521" s="117"/>
      <c r="L521" s="117"/>
      <c r="M521" s="38">
        <f t="shared" si="304"/>
        <v>-1459</v>
      </c>
      <c r="N521" s="122"/>
      <c r="O521" s="123"/>
      <c r="P521" s="26">
        <f t="shared" si="305"/>
        <v>-1459</v>
      </c>
      <c r="Q521" s="117"/>
      <c r="R521" s="117"/>
      <c r="S521" s="38">
        <f t="shared" si="306"/>
        <v>-1459</v>
      </c>
      <c r="T521" s="122"/>
      <c r="U521" s="124"/>
      <c r="V521" s="20">
        <f t="shared" si="307"/>
        <v>-1459</v>
      </c>
      <c r="W521" s="143"/>
    </row>
    <row r="522" spans="1:23" ht="15.75" customHeight="1">
      <c r="A522" s="114"/>
      <c r="B522" s="122"/>
      <c r="C522" s="123"/>
      <c r="D522" s="39">
        <f t="shared" si="301"/>
        <v>-1459</v>
      </c>
      <c r="E522" s="128"/>
      <c r="F522" s="128"/>
      <c r="G522" s="55">
        <f t="shared" si="302"/>
        <v>-1459</v>
      </c>
      <c r="H522" s="124"/>
      <c r="I522" s="123"/>
      <c r="J522" s="39">
        <f t="shared" si="303"/>
        <v>-1459</v>
      </c>
      <c r="K522" s="128"/>
      <c r="L522" s="128"/>
      <c r="M522" s="40">
        <f t="shared" si="304"/>
        <v>-1459</v>
      </c>
      <c r="N522" s="122"/>
      <c r="O522" s="123"/>
      <c r="P522" s="39">
        <f t="shared" si="305"/>
        <v>-1459</v>
      </c>
      <c r="Q522" s="128"/>
      <c r="R522" s="128"/>
      <c r="S522" s="40">
        <f t="shared" si="306"/>
        <v>-1459</v>
      </c>
      <c r="T522" s="122"/>
      <c r="U522" s="123"/>
      <c r="V522" s="49">
        <f t="shared" si="307"/>
        <v>-1459</v>
      </c>
      <c r="W522" s="143"/>
    </row>
    <row r="523" spans="1:23" ht="15.75" customHeight="1">
      <c r="A523" s="87"/>
      <c r="B523" s="77">
        <f ca="1">IFERROR(__xludf.DUMMYFUNCTION("DATE(VALUE(LEFT($B$2,4)),VALUE(MID($B$2,6,2)),VALUE(RIGHT($B$2,2)))
+ (VALUE(REGEXEXTRACT(INDIRECT(""A""&amp;ROW()+1),""\d+""))-1)*7
+ INT((COLUMN()-COLUMN($B523))/3)
"),47426)</f>
        <v>47426</v>
      </c>
      <c r="C523" s="81"/>
      <c r="D523" s="82"/>
      <c r="E523" s="77">
        <f ca="1">IFERROR(__xludf.DUMMYFUNCTION("DATE(VALUE(LEFT($B$2,4)),VALUE(MID($B$2,6,2)),VALUE(RIGHT($B$2,2)))
+ (VALUE(REGEXEXTRACT(INDIRECT(""A""&amp;ROW()+1),""\d+""))-1)*7
+ INT((COLUMN()-COLUMN($B523))/3)
"),47427)</f>
        <v>47427</v>
      </c>
      <c r="F523" s="81"/>
      <c r="G523" s="82"/>
      <c r="H523" s="77">
        <f ca="1">IFERROR(__xludf.DUMMYFUNCTION("DATE(VALUE(LEFT($B$2,4)),VALUE(MID($B$2,6,2)),VALUE(RIGHT($B$2,2)))
+ (VALUE(REGEXEXTRACT(INDIRECT(""A""&amp;ROW()+1),""\d+""))-1)*7
+ INT((COLUMN()-COLUMN($B523))/3)
"),47428)</f>
        <v>47428</v>
      </c>
      <c r="I523" s="81"/>
      <c r="J523" s="82"/>
      <c r="K523" s="77">
        <f ca="1">IFERROR(__xludf.DUMMYFUNCTION("DATE(VALUE(LEFT($B$2,4)),VALUE(MID($B$2,6,2)),VALUE(RIGHT($B$2,2)))
+ (VALUE(REGEXEXTRACT(INDIRECT(""A""&amp;ROW()+1),""\d+""))-1)*7
+ INT((COLUMN()-COLUMN($B523))/3)
"),47429)</f>
        <v>47429</v>
      </c>
      <c r="L523" s="81"/>
      <c r="M523" s="82"/>
      <c r="N523" s="77">
        <f ca="1">IFERROR(__xludf.DUMMYFUNCTION("DATE(VALUE(LEFT($B$2,4)),VALUE(MID($B$2,6,2)),VALUE(RIGHT($B$2,2)))
+ (VALUE(REGEXEXTRACT(INDIRECT(""A""&amp;ROW()+1),""\d+""))-1)*7
+ INT((COLUMN()-COLUMN($B523))/3)
"),47430)</f>
        <v>47430</v>
      </c>
      <c r="O523" s="81"/>
      <c r="P523" s="82"/>
      <c r="Q523" s="77">
        <f ca="1">IFERROR(__xludf.DUMMYFUNCTION("DATE(VALUE(LEFT($B$2,4)),VALUE(MID($B$2,6,2)),VALUE(RIGHT($B$2,2)))
+ (VALUE(REGEXEXTRACT(INDIRECT(""A""&amp;ROW()+1),""\d+""))-1)*7
+ INT((COLUMN()-COLUMN($B523))/3)
"),47431)</f>
        <v>47431</v>
      </c>
      <c r="R523" s="81"/>
      <c r="S523" s="82"/>
      <c r="T523" s="77">
        <f ca="1">IFERROR(__xludf.DUMMYFUNCTION("DATE(VALUE(LEFT($B$2,4)),VALUE(MID($B$2,6,2)),VALUE(RIGHT($B$2,2)))
+ (VALUE(REGEXEXTRACT(INDIRECT(""A""&amp;ROW()+1),""\d+""))-1)*7
+ INT((COLUMN()-COLUMN($B523))/3)
"),47432)</f>
        <v>47432</v>
      </c>
      <c r="U523" s="81"/>
      <c r="V523" s="82"/>
      <c r="W523" s="52" t="s">
        <v>20</v>
      </c>
    </row>
    <row r="524" spans="1:23" ht="15.75" customHeight="1">
      <c r="A524" s="47" t="s">
        <v>173</v>
      </c>
      <c r="B524" s="113"/>
      <c r="C524" s="109"/>
      <c r="D524" s="42">
        <f>V522+C524</f>
        <v>-1459</v>
      </c>
      <c r="E524" s="112"/>
      <c r="F524" s="111"/>
      <c r="G524" s="36">
        <f>D534+F524</f>
        <v>-1459</v>
      </c>
      <c r="H524" s="132"/>
      <c r="I524" s="109"/>
      <c r="J524" s="42">
        <f>G534+I524</f>
        <v>-1459</v>
      </c>
      <c r="K524" s="112"/>
      <c r="L524" s="111"/>
      <c r="M524" s="18">
        <f>J534+L524</f>
        <v>-1459</v>
      </c>
      <c r="N524" s="113"/>
      <c r="O524" s="109"/>
      <c r="P524" s="35">
        <f>M534+O524</f>
        <v>-1459</v>
      </c>
      <c r="Q524" s="112"/>
      <c r="R524" s="111"/>
      <c r="S524" s="18">
        <f>P534+R524</f>
        <v>-1459</v>
      </c>
      <c r="T524" s="173"/>
      <c r="U524" s="173"/>
      <c r="V524" s="50">
        <f>S534+U524</f>
        <v>-1459</v>
      </c>
      <c r="W524" s="172"/>
    </row>
    <row r="525" spans="1:23" ht="15.75" customHeight="1">
      <c r="A525" s="114"/>
      <c r="B525" s="118"/>
      <c r="C525" s="117"/>
      <c r="D525" s="19">
        <f t="shared" ref="D525:D534" si="308">D524+C525</f>
        <v>-1459</v>
      </c>
      <c r="E525" s="106"/>
      <c r="F525" s="107"/>
      <c r="G525" s="26">
        <f t="shared" ref="G525:G534" si="309">G524+F525</f>
        <v>-1459</v>
      </c>
      <c r="H525" s="133"/>
      <c r="I525" s="117"/>
      <c r="J525" s="19">
        <f t="shared" ref="J525:J534" si="310">J524+I525</f>
        <v>-1459</v>
      </c>
      <c r="K525" s="106"/>
      <c r="L525" s="107"/>
      <c r="M525" s="26">
        <f t="shared" ref="M525:M534" si="311">M524+L525</f>
        <v>-1459</v>
      </c>
      <c r="N525" s="118"/>
      <c r="O525" s="117"/>
      <c r="P525" s="38">
        <f t="shared" ref="P525:P534" si="312">P524+O525</f>
        <v>-1459</v>
      </c>
      <c r="Q525" s="106"/>
      <c r="R525" s="107"/>
      <c r="S525" s="26">
        <f t="shared" ref="S525:S534" si="313">S524+R525</f>
        <v>-1459</v>
      </c>
      <c r="T525" s="136"/>
      <c r="U525" s="136"/>
      <c r="V525" s="45">
        <f t="shared" ref="V525:V534" si="314">V524+U525</f>
        <v>-1459</v>
      </c>
      <c r="W525" s="143"/>
    </row>
    <row r="526" spans="1:23" ht="15.75" customHeight="1">
      <c r="A526" s="114"/>
      <c r="B526" s="118"/>
      <c r="C526" s="117"/>
      <c r="D526" s="19">
        <f t="shared" si="308"/>
        <v>-1459</v>
      </c>
      <c r="E526" s="106"/>
      <c r="F526" s="107"/>
      <c r="G526" s="26">
        <f t="shared" si="309"/>
        <v>-1459</v>
      </c>
      <c r="H526" s="133"/>
      <c r="I526" s="117"/>
      <c r="J526" s="19">
        <f t="shared" si="310"/>
        <v>-1459</v>
      </c>
      <c r="K526" s="106"/>
      <c r="L526" s="107"/>
      <c r="M526" s="26">
        <f t="shared" si="311"/>
        <v>-1459</v>
      </c>
      <c r="N526" s="117"/>
      <c r="O526" s="117"/>
      <c r="P526" s="38">
        <f t="shared" si="312"/>
        <v>-1459</v>
      </c>
      <c r="Q526" s="106"/>
      <c r="R526" s="107"/>
      <c r="S526" s="26">
        <f t="shared" si="313"/>
        <v>-1459</v>
      </c>
      <c r="T526" s="136"/>
      <c r="U526" s="136"/>
      <c r="V526" s="45">
        <f t="shared" si="314"/>
        <v>-1459</v>
      </c>
      <c r="W526" s="143"/>
    </row>
    <row r="527" spans="1:23" ht="15.75" customHeight="1">
      <c r="A527" s="114"/>
      <c r="B527" s="118"/>
      <c r="C527" s="117"/>
      <c r="D527" s="19">
        <f t="shared" si="308"/>
        <v>-1459</v>
      </c>
      <c r="E527" s="106"/>
      <c r="F527" s="107"/>
      <c r="G527" s="26">
        <f t="shared" si="309"/>
        <v>-1459</v>
      </c>
      <c r="H527" s="133"/>
      <c r="I527" s="117"/>
      <c r="J527" s="19">
        <f t="shared" si="310"/>
        <v>-1459</v>
      </c>
      <c r="K527" s="106"/>
      <c r="L527" s="107"/>
      <c r="M527" s="26">
        <f t="shared" si="311"/>
        <v>-1459</v>
      </c>
      <c r="N527" s="117"/>
      <c r="O527" s="117"/>
      <c r="P527" s="38">
        <f t="shared" si="312"/>
        <v>-1459</v>
      </c>
      <c r="Q527" s="106"/>
      <c r="R527" s="107"/>
      <c r="S527" s="26">
        <f t="shared" si="313"/>
        <v>-1459</v>
      </c>
      <c r="T527" s="136"/>
      <c r="U527" s="136"/>
      <c r="V527" s="45">
        <f t="shared" si="314"/>
        <v>-1459</v>
      </c>
      <c r="W527" s="143"/>
    </row>
    <row r="528" spans="1:23" ht="15.75" customHeight="1">
      <c r="A528" s="114"/>
      <c r="B528" s="118"/>
      <c r="C528" s="117"/>
      <c r="D528" s="19">
        <f t="shared" si="308"/>
        <v>-1459</v>
      </c>
      <c r="E528" s="106"/>
      <c r="F528" s="107"/>
      <c r="G528" s="26">
        <f t="shared" si="309"/>
        <v>-1459</v>
      </c>
      <c r="H528" s="133"/>
      <c r="I528" s="117"/>
      <c r="J528" s="19">
        <f t="shared" si="310"/>
        <v>-1459</v>
      </c>
      <c r="K528" s="106"/>
      <c r="L528" s="107"/>
      <c r="M528" s="26">
        <f t="shared" si="311"/>
        <v>-1459</v>
      </c>
      <c r="N528" s="117"/>
      <c r="O528" s="117"/>
      <c r="P528" s="38">
        <f t="shared" si="312"/>
        <v>-1459</v>
      </c>
      <c r="Q528" s="106"/>
      <c r="R528" s="107"/>
      <c r="S528" s="26">
        <f t="shared" si="313"/>
        <v>-1459</v>
      </c>
      <c r="T528" s="136"/>
      <c r="U528" s="136"/>
      <c r="V528" s="45">
        <f t="shared" si="314"/>
        <v>-1459</v>
      </c>
      <c r="W528" s="143"/>
    </row>
    <row r="529" spans="1:23" ht="15.75" customHeight="1">
      <c r="A529" s="114"/>
      <c r="B529" s="118"/>
      <c r="C529" s="117"/>
      <c r="D529" s="19">
        <f t="shared" si="308"/>
        <v>-1459</v>
      </c>
      <c r="E529" s="106"/>
      <c r="F529" s="107"/>
      <c r="G529" s="26">
        <f t="shared" si="309"/>
        <v>-1459</v>
      </c>
      <c r="H529" s="133"/>
      <c r="I529" s="117"/>
      <c r="J529" s="19">
        <f t="shared" si="310"/>
        <v>-1459</v>
      </c>
      <c r="K529" s="106"/>
      <c r="L529" s="107"/>
      <c r="M529" s="26">
        <f t="shared" si="311"/>
        <v>-1459</v>
      </c>
      <c r="N529" s="117"/>
      <c r="O529" s="117"/>
      <c r="P529" s="38">
        <f t="shared" si="312"/>
        <v>-1459</v>
      </c>
      <c r="Q529" s="106"/>
      <c r="R529" s="107"/>
      <c r="S529" s="26">
        <f t="shared" si="313"/>
        <v>-1459</v>
      </c>
      <c r="T529" s="136"/>
      <c r="U529" s="136"/>
      <c r="V529" s="45">
        <f t="shared" si="314"/>
        <v>-1459</v>
      </c>
      <c r="W529" s="143"/>
    </row>
    <row r="530" spans="1:23" ht="15.75" customHeight="1">
      <c r="A530" s="114"/>
      <c r="B530" s="117"/>
      <c r="C530" s="117"/>
      <c r="D530" s="19">
        <f t="shared" si="308"/>
        <v>-1459</v>
      </c>
      <c r="E530" s="106"/>
      <c r="F530" s="107"/>
      <c r="G530" s="26">
        <f t="shared" si="309"/>
        <v>-1459</v>
      </c>
      <c r="H530" s="133"/>
      <c r="I530" s="117"/>
      <c r="J530" s="19">
        <f t="shared" si="310"/>
        <v>-1459</v>
      </c>
      <c r="K530" s="106"/>
      <c r="L530" s="107"/>
      <c r="M530" s="26">
        <f t="shared" si="311"/>
        <v>-1459</v>
      </c>
      <c r="N530" s="117"/>
      <c r="O530" s="117"/>
      <c r="P530" s="38">
        <f t="shared" si="312"/>
        <v>-1459</v>
      </c>
      <c r="Q530" s="106"/>
      <c r="R530" s="107"/>
      <c r="S530" s="26">
        <f t="shared" si="313"/>
        <v>-1459</v>
      </c>
      <c r="T530" s="136"/>
      <c r="U530" s="136"/>
      <c r="V530" s="45">
        <f t="shared" si="314"/>
        <v>-1459</v>
      </c>
      <c r="W530" s="143"/>
    </row>
    <row r="531" spans="1:23" ht="15.75" customHeight="1">
      <c r="A531" s="114"/>
      <c r="B531" s="117"/>
      <c r="C531" s="117"/>
      <c r="D531" s="19">
        <f t="shared" si="308"/>
        <v>-1459</v>
      </c>
      <c r="E531" s="106"/>
      <c r="F531" s="107"/>
      <c r="G531" s="26">
        <f t="shared" si="309"/>
        <v>-1459</v>
      </c>
      <c r="H531" s="133"/>
      <c r="I531" s="117"/>
      <c r="J531" s="19">
        <f t="shared" si="310"/>
        <v>-1459</v>
      </c>
      <c r="K531" s="106"/>
      <c r="L531" s="107"/>
      <c r="M531" s="26">
        <f t="shared" si="311"/>
        <v>-1459</v>
      </c>
      <c r="N531" s="117"/>
      <c r="O531" s="117"/>
      <c r="P531" s="38">
        <f t="shared" si="312"/>
        <v>-1459</v>
      </c>
      <c r="Q531" s="106"/>
      <c r="R531" s="107"/>
      <c r="S531" s="26">
        <f t="shared" si="313"/>
        <v>-1459</v>
      </c>
      <c r="T531" s="136"/>
      <c r="U531" s="136"/>
      <c r="V531" s="45">
        <f t="shared" si="314"/>
        <v>-1459</v>
      </c>
      <c r="W531" s="143"/>
    </row>
    <row r="532" spans="1:23" ht="15.75" customHeight="1">
      <c r="A532" s="114"/>
      <c r="B532" s="117"/>
      <c r="C532" s="117"/>
      <c r="D532" s="19">
        <f t="shared" si="308"/>
        <v>-1459</v>
      </c>
      <c r="E532" s="106"/>
      <c r="F532" s="107"/>
      <c r="G532" s="26">
        <f t="shared" si="309"/>
        <v>-1459</v>
      </c>
      <c r="H532" s="133"/>
      <c r="I532" s="117"/>
      <c r="J532" s="19">
        <f t="shared" si="310"/>
        <v>-1459</v>
      </c>
      <c r="K532" s="106"/>
      <c r="L532" s="107"/>
      <c r="M532" s="26">
        <f t="shared" si="311"/>
        <v>-1459</v>
      </c>
      <c r="N532" s="117"/>
      <c r="O532" s="117"/>
      <c r="P532" s="38">
        <f t="shared" si="312"/>
        <v>-1459</v>
      </c>
      <c r="Q532" s="106"/>
      <c r="R532" s="107"/>
      <c r="S532" s="26">
        <f t="shared" si="313"/>
        <v>-1459</v>
      </c>
      <c r="T532" s="136"/>
      <c r="U532" s="136"/>
      <c r="V532" s="45">
        <f t="shared" si="314"/>
        <v>-1459</v>
      </c>
      <c r="W532" s="143"/>
    </row>
    <row r="533" spans="1:23" ht="15.75" customHeight="1">
      <c r="A533" s="114"/>
      <c r="B533" s="117"/>
      <c r="C533" s="117"/>
      <c r="D533" s="19">
        <f t="shared" si="308"/>
        <v>-1459</v>
      </c>
      <c r="E533" s="122"/>
      <c r="F533" s="123"/>
      <c r="G533" s="26">
        <f t="shared" si="309"/>
        <v>-1459</v>
      </c>
      <c r="H533" s="133"/>
      <c r="I533" s="117"/>
      <c r="J533" s="19">
        <f t="shared" si="310"/>
        <v>-1459</v>
      </c>
      <c r="K533" s="122"/>
      <c r="L533" s="123"/>
      <c r="M533" s="26">
        <f t="shared" si="311"/>
        <v>-1459</v>
      </c>
      <c r="N533" s="117"/>
      <c r="O533" s="117"/>
      <c r="P533" s="38">
        <f t="shared" si="312"/>
        <v>-1459</v>
      </c>
      <c r="Q533" s="122"/>
      <c r="R533" s="123"/>
      <c r="S533" s="26">
        <f t="shared" si="313"/>
        <v>-1459</v>
      </c>
      <c r="T533" s="136"/>
      <c r="U533" s="136"/>
      <c r="V533" s="45">
        <f t="shared" si="314"/>
        <v>-1459</v>
      </c>
      <c r="W533" s="143"/>
    </row>
    <row r="534" spans="1:23" ht="15.75" customHeight="1">
      <c r="A534" s="114"/>
      <c r="B534" s="128"/>
      <c r="C534" s="128"/>
      <c r="D534" s="29">
        <f t="shared" si="308"/>
        <v>-1459</v>
      </c>
      <c r="E534" s="122"/>
      <c r="F534" s="123"/>
      <c r="G534" s="53">
        <f t="shared" si="309"/>
        <v>-1459</v>
      </c>
      <c r="H534" s="140"/>
      <c r="I534" s="128"/>
      <c r="J534" s="29">
        <f t="shared" si="310"/>
        <v>-1459</v>
      </c>
      <c r="K534" s="122"/>
      <c r="L534" s="123"/>
      <c r="M534" s="39">
        <f t="shared" si="311"/>
        <v>-1459</v>
      </c>
      <c r="N534" s="128"/>
      <c r="O534" s="128"/>
      <c r="P534" s="40">
        <f t="shared" si="312"/>
        <v>-1459</v>
      </c>
      <c r="Q534" s="122"/>
      <c r="R534" s="123"/>
      <c r="S534" s="39">
        <f t="shared" si="313"/>
        <v>-1459</v>
      </c>
      <c r="T534" s="141"/>
      <c r="U534" s="141"/>
      <c r="V534" s="46">
        <f t="shared" si="314"/>
        <v>-1459</v>
      </c>
      <c r="W534" s="143"/>
    </row>
    <row r="535" spans="1:23" ht="15.75" customHeight="1">
      <c r="A535" s="87"/>
      <c r="B535" s="77">
        <f ca="1">IFERROR(__xludf.DUMMYFUNCTION("DATE(VALUE(LEFT($B$2,4)),VALUE(MID($B$2,6,2)),VALUE(RIGHT($B$2,2)))
+ (VALUE(REGEXEXTRACT(INDIRECT(""A""&amp;ROW()+1),""\d+""))-1)*7
+ INT((COLUMN()-COLUMN($B535))/3)
"),47433)</f>
        <v>47433</v>
      </c>
      <c r="C535" s="81"/>
      <c r="D535" s="82"/>
      <c r="E535" s="77">
        <f ca="1">IFERROR(__xludf.DUMMYFUNCTION("DATE(VALUE(LEFT($B$2,4)),VALUE(MID($B$2,6,2)),VALUE(RIGHT($B$2,2)))
+ (VALUE(REGEXEXTRACT(INDIRECT(""A""&amp;ROW()+1),""\d+""))-1)*7
+ INT((COLUMN()-COLUMN($B535))/3)
"),47434)</f>
        <v>47434</v>
      </c>
      <c r="F535" s="81"/>
      <c r="G535" s="82"/>
      <c r="H535" s="77">
        <f ca="1">IFERROR(__xludf.DUMMYFUNCTION("DATE(VALUE(LEFT($B$2,4)),VALUE(MID($B$2,6,2)),VALUE(RIGHT($B$2,2)))
+ (VALUE(REGEXEXTRACT(INDIRECT(""A""&amp;ROW()+1),""\d+""))-1)*7
+ INT((COLUMN()-COLUMN($B535))/3)
"),47435)</f>
        <v>47435</v>
      </c>
      <c r="I535" s="81"/>
      <c r="J535" s="82"/>
      <c r="K535" s="77">
        <f ca="1">IFERROR(__xludf.DUMMYFUNCTION("DATE(VALUE(LEFT($B$2,4)),VALUE(MID($B$2,6,2)),VALUE(RIGHT($B$2,2)))
+ (VALUE(REGEXEXTRACT(INDIRECT(""A""&amp;ROW()+1),""\d+""))-1)*7
+ INT((COLUMN()-COLUMN($B535))/3)
"),47436)</f>
        <v>47436</v>
      </c>
      <c r="L535" s="81"/>
      <c r="M535" s="82"/>
      <c r="N535" s="77">
        <f ca="1">IFERROR(__xludf.DUMMYFUNCTION("DATE(VALUE(LEFT($B$2,4)),VALUE(MID($B$2,6,2)),VALUE(RIGHT($B$2,2)))
+ (VALUE(REGEXEXTRACT(INDIRECT(""A""&amp;ROW()+1),""\d+""))-1)*7
+ INT((COLUMN()-COLUMN($B535))/3)
"),47437)</f>
        <v>47437</v>
      </c>
      <c r="O535" s="81"/>
      <c r="P535" s="82"/>
      <c r="Q535" s="77">
        <f ca="1">IFERROR(__xludf.DUMMYFUNCTION("DATE(VALUE(LEFT($B$2,4)),VALUE(MID($B$2,6,2)),VALUE(RIGHT($B$2,2)))
+ (VALUE(REGEXEXTRACT(INDIRECT(""A""&amp;ROW()+1),""\d+""))-1)*7
+ INT((COLUMN()-COLUMN($B535))/3)
"),47438)</f>
        <v>47438</v>
      </c>
      <c r="R535" s="81"/>
      <c r="S535" s="82"/>
      <c r="T535" s="77">
        <f ca="1">IFERROR(__xludf.DUMMYFUNCTION("DATE(VALUE(LEFT($B$2,4)),VALUE(MID($B$2,6,2)),VALUE(RIGHT($B$2,2)))
+ (VALUE(REGEXEXTRACT(INDIRECT(""A""&amp;ROW()+1),""\d+""))-1)*7
+ INT((COLUMN()-COLUMN($B535))/3)
"),47439)</f>
        <v>47439</v>
      </c>
      <c r="U535" s="81"/>
      <c r="V535" s="82"/>
      <c r="W535" s="143"/>
    </row>
    <row r="536" spans="1:23" ht="15.75" customHeight="1">
      <c r="A536" s="51" t="s">
        <v>174</v>
      </c>
      <c r="B536" s="112"/>
      <c r="C536" s="111"/>
      <c r="D536" s="17">
        <f>V534+C536</f>
        <v>-1459</v>
      </c>
      <c r="E536" s="109"/>
      <c r="F536" s="109"/>
      <c r="G536" s="54">
        <f>D546+F536</f>
        <v>-1459</v>
      </c>
      <c r="H536" s="110"/>
      <c r="I536" s="111"/>
      <c r="J536" s="17">
        <f>G546+I536</f>
        <v>-1459</v>
      </c>
      <c r="K536" s="109"/>
      <c r="L536" s="109"/>
      <c r="M536" s="35">
        <f>J546+L536</f>
        <v>-1459</v>
      </c>
      <c r="N536" s="112"/>
      <c r="O536" s="111"/>
      <c r="P536" s="17">
        <f>M546+O536</f>
        <v>-1459</v>
      </c>
      <c r="Q536" s="109"/>
      <c r="R536" s="109"/>
      <c r="S536" s="35">
        <f>P546+R536</f>
        <v>-1459</v>
      </c>
      <c r="T536" s="112"/>
      <c r="U536" s="111"/>
      <c r="V536" s="48">
        <f>S546+U536</f>
        <v>-1459</v>
      </c>
      <c r="W536" s="143"/>
    </row>
    <row r="537" spans="1:23" ht="15.75" customHeight="1">
      <c r="A537" s="114"/>
      <c r="B537" s="106"/>
      <c r="C537" s="107"/>
      <c r="D537" s="26">
        <f t="shared" ref="D537:D546" si="315">D536+C537</f>
        <v>-1459</v>
      </c>
      <c r="E537" s="117"/>
      <c r="F537" s="117"/>
      <c r="G537" s="19">
        <f t="shared" ref="G537:G546" si="316">G536+F537</f>
        <v>-1459</v>
      </c>
      <c r="H537" s="116"/>
      <c r="I537" s="107"/>
      <c r="J537" s="26">
        <f t="shared" ref="J537:J546" si="317">J536+I537</f>
        <v>-1459</v>
      </c>
      <c r="K537" s="117"/>
      <c r="L537" s="117"/>
      <c r="M537" s="38">
        <f t="shared" ref="M537:M546" si="318">M536+L537</f>
        <v>-1459</v>
      </c>
      <c r="N537" s="106"/>
      <c r="O537" s="107"/>
      <c r="P537" s="26">
        <f t="shared" ref="P537:P546" si="319">P536+O537</f>
        <v>-1459</v>
      </c>
      <c r="Q537" s="117"/>
      <c r="R537" s="117"/>
      <c r="S537" s="38">
        <f t="shared" ref="S537:S546" si="320">S536+R537</f>
        <v>-1459</v>
      </c>
      <c r="T537" s="106"/>
      <c r="U537" s="107"/>
      <c r="V537" s="20">
        <f t="shared" ref="V537:V546" si="321">V536+U537</f>
        <v>-1459</v>
      </c>
      <c r="W537" s="143"/>
    </row>
    <row r="538" spans="1:23" ht="15.75" customHeight="1">
      <c r="A538" s="114"/>
      <c r="B538" s="106"/>
      <c r="C538" s="107"/>
      <c r="D538" s="26">
        <f t="shared" si="315"/>
        <v>-1459</v>
      </c>
      <c r="E538" s="117"/>
      <c r="F538" s="117"/>
      <c r="G538" s="19">
        <f t="shared" si="316"/>
        <v>-1459</v>
      </c>
      <c r="H538" s="116"/>
      <c r="I538" s="107"/>
      <c r="J538" s="26">
        <f t="shared" si="317"/>
        <v>-1459</v>
      </c>
      <c r="K538" s="117"/>
      <c r="L538" s="117"/>
      <c r="M538" s="38">
        <f t="shared" si="318"/>
        <v>-1459</v>
      </c>
      <c r="N538" s="106"/>
      <c r="O538" s="107"/>
      <c r="P538" s="26">
        <f t="shared" si="319"/>
        <v>-1459</v>
      </c>
      <c r="Q538" s="117"/>
      <c r="R538" s="117"/>
      <c r="S538" s="38">
        <f t="shared" si="320"/>
        <v>-1459</v>
      </c>
      <c r="T538" s="106"/>
      <c r="U538" s="116"/>
      <c r="V538" s="20">
        <f t="shared" si="321"/>
        <v>-1459</v>
      </c>
      <c r="W538" s="143"/>
    </row>
    <row r="539" spans="1:23" ht="15.75" customHeight="1">
      <c r="A539" s="114"/>
      <c r="B539" s="106"/>
      <c r="C539" s="107"/>
      <c r="D539" s="26">
        <f t="shared" si="315"/>
        <v>-1459</v>
      </c>
      <c r="E539" s="117"/>
      <c r="F539" s="117"/>
      <c r="G539" s="19">
        <f t="shared" si="316"/>
        <v>-1459</v>
      </c>
      <c r="H539" s="116"/>
      <c r="I539" s="107"/>
      <c r="J539" s="26">
        <f t="shared" si="317"/>
        <v>-1459</v>
      </c>
      <c r="K539" s="117"/>
      <c r="L539" s="117"/>
      <c r="M539" s="38">
        <f t="shared" si="318"/>
        <v>-1459</v>
      </c>
      <c r="N539" s="106"/>
      <c r="O539" s="107"/>
      <c r="P539" s="26">
        <f t="shared" si="319"/>
        <v>-1459</v>
      </c>
      <c r="Q539" s="117"/>
      <c r="R539" s="117"/>
      <c r="S539" s="38">
        <f t="shared" si="320"/>
        <v>-1459</v>
      </c>
      <c r="T539" s="106"/>
      <c r="U539" s="116"/>
      <c r="V539" s="20">
        <f t="shared" si="321"/>
        <v>-1459</v>
      </c>
      <c r="W539" s="143"/>
    </row>
    <row r="540" spans="1:23" ht="15.75" customHeight="1">
      <c r="A540" s="114"/>
      <c r="B540" s="106"/>
      <c r="C540" s="107"/>
      <c r="D540" s="26">
        <f t="shared" si="315"/>
        <v>-1459</v>
      </c>
      <c r="E540" s="117"/>
      <c r="F540" s="117"/>
      <c r="G540" s="19">
        <f t="shared" si="316"/>
        <v>-1459</v>
      </c>
      <c r="H540" s="116"/>
      <c r="I540" s="107"/>
      <c r="J540" s="26">
        <f t="shared" si="317"/>
        <v>-1459</v>
      </c>
      <c r="K540" s="117"/>
      <c r="L540" s="117"/>
      <c r="M540" s="38">
        <f t="shared" si="318"/>
        <v>-1459</v>
      </c>
      <c r="N540" s="106"/>
      <c r="O540" s="107"/>
      <c r="P540" s="26">
        <f t="shared" si="319"/>
        <v>-1459</v>
      </c>
      <c r="Q540" s="117"/>
      <c r="R540" s="117"/>
      <c r="S540" s="38">
        <f t="shared" si="320"/>
        <v>-1459</v>
      </c>
      <c r="T540" s="106"/>
      <c r="U540" s="116"/>
      <c r="V540" s="20">
        <f t="shared" si="321"/>
        <v>-1459</v>
      </c>
      <c r="W540" s="143"/>
    </row>
    <row r="541" spans="1:23" ht="15.75" customHeight="1">
      <c r="A541" s="114"/>
      <c r="B541" s="106"/>
      <c r="C541" s="107"/>
      <c r="D541" s="26">
        <f t="shared" si="315"/>
        <v>-1459</v>
      </c>
      <c r="E541" s="117"/>
      <c r="F541" s="117"/>
      <c r="G541" s="19">
        <f t="shared" si="316"/>
        <v>-1459</v>
      </c>
      <c r="H541" s="116"/>
      <c r="I541" s="107"/>
      <c r="J541" s="26">
        <f t="shared" si="317"/>
        <v>-1459</v>
      </c>
      <c r="K541" s="117"/>
      <c r="L541" s="117"/>
      <c r="M541" s="38">
        <f t="shared" si="318"/>
        <v>-1459</v>
      </c>
      <c r="N541" s="106"/>
      <c r="O541" s="107"/>
      <c r="P541" s="26">
        <f t="shared" si="319"/>
        <v>-1459</v>
      </c>
      <c r="Q541" s="117"/>
      <c r="R541" s="117"/>
      <c r="S541" s="38">
        <f t="shared" si="320"/>
        <v>-1459</v>
      </c>
      <c r="T541" s="106"/>
      <c r="U541" s="116"/>
      <c r="V541" s="20">
        <f t="shared" si="321"/>
        <v>-1459</v>
      </c>
      <c r="W541" s="143"/>
    </row>
    <row r="542" spans="1:23" ht="15.75" customHeight="1">
      <c r="A542" s="114"/>
      <c r="B542" s="106"/>
      <c r="C542" s="107"/>
      <c r="D542" s="26">
        <f t="shared" si="315"/>
        <v>-1459</v>
      </c>
      <c r="E542" s="117"/>
      <c r="F542" s="117"/>
      <c r="G542" s="19">
        <f t="shared" si="316"/>
        <v>-1459</v>
      </c>
      <c r="H542" s="116"/>
      <c r="I542" s="107"/>
      <c r="J542" s="26">
        <f t="shared" si="317"/>
        <v>-1459</v>
      </c>
      <c r="K542" s="117"/>
      <c r="L542" s="117"/>
      <c r="M542" s="38">
        <f t="shared" si="318"/>
        <v>-1459</v>
      </c>
      <c r="N542" s="106"/>
      <c r="O542" s="107"/>
      <c r="P542" s="26">
        <f t="shared" si="319"/>
        <v>-1459</v>
      </c>
      <c r="Q542" s="117"/>
      <c r="R542" s="117"/>
      <c r="S542" s="38">
        <f t="shared" si="320"/>
        <v>-1459</v>
      </c>
      <c r="T542" s="106"/>
      <c r="U542" s="116"/>
      <c r="V542" s="20">
        <f t="shared" si="321"/>
        <v>-1459</v>
      </c>
      <c r="W542" s="143"/>
    </row>
    <row r="543" spans="1:23" ht="15.75" customHeight="1">
      <c r="A543" s="114"/>
      <c r="B543" s="106"/>
      <c r="C543" s="107"/>
      <c r="D543" s="26">
        <f t="shared" si="315"/>
        <v>-1459</v>
      </c>
      <c r="E543" s="117"/>
      <c r="F543" s="117"/>
      <c r="G543" s="19">
        <f t="shared" si="316"/>
        <v>-1459</v>
      </c>
      <c r="H543" s="116"/>
      <c r="I543" s="107"/>
      <c r="J543" s="26">
        <f t="shared" si="317"/>
        <v>-1459</v>
      </c>
      <c r="K543" s="117"/>
      <c r="L543" s="117"/>
      <c r="M543" s="38">
        <f t="shared" si="318"/>
        <v>-1459</v>
      </c>
      <c r="N543" s="106"/>
      <c r="O543" s="107"/>
      <c r="P543" s="26">
        <f t="shared" si="319"/>
        <v>-1459</v>
      </c>
      <c r="Q543" s="117"/>
      <c r="R543" s="117"/>
      <c r="S543" s="38">
        <f t="shared" si="320"/>
        <v>-1459</v>
      </c>
      <c r="T543" s="106"/>
      <c r="U543" s="116"/>
      <c r="V543" s="20">
        <f t="shared" si="321"/>
        <v>-1459</v>
      </c>
      <c r="W543" s="143"/>
    </row>
    <row r="544" spans="1:23" ht="15.75" customHeight="1">
      <c r="A544" s="114"/>
      <c r="B544" s="122"/>
      <c r="C544" s="123"/>
      <c r="D544" s="26">
        <f t="shared" si="315"/>
        <v>-1459</v>
      </c>
      <c r="E544" s="117"/>
      <c r="F544" s="117"/>
      <c r="G544" s="19">
        <f t="shared" si="316"/>
        <v>-1459</v>
      </c>
      <c r="H544" s="124"/>
      <c r="I544" s="123"/>
      <c r="J544" s="26">
        <f t="shared" si="317"/>
        <v>-1459</v>
      </c>
      <c r="K544" s="117"/>
      <c r="L544" s="117"/>
      <c r="M544" s="38">
        <f t="shared" si="318"/>
        <v>-1459</v>
      </c>
      <c r="N544" s="122"/>
      <c r="O544" s="123"/>
      <c r="P544" s="26">
        <f t="shared" si="319"/>
        <v>-1459</v>
      </c>
      <c r="Q544" s="117"/>
      <c r="R544" s="117"/>
      <c r="S544" s="38">
        <f t="shared" si="320"/>
        <v>-1459</v>
      </c>
      <c r="T544" s="106"/>
      <c r="U544" s="116"/>
      <c r="V544" s="20">
        <f t="shared" si="321"/>
        <v>-1459</v>
      </c>
      <c r="W544" s="143"/>
    </row>
    <row r="545" spans="1:23" ht="15.75" customHeight="1">
      <c r="A545" s="114"/>
      <c r="B545" s="122"/>
      <c r="C545" s="123"/>
      <c r="D545" s="26">
        <f t="shared" si="315"/>
        <v>-1459</v>
      </c>
      <c r="E545" s="117"/>
      <c r="F545" s="117"/>
      <c r="G545" s="19">
        <f t="shared" si="316"/>
        <v>-1459</v>
      </c>
      <c r="H545" s="124"/>
      <c r="I545" s="123"/>
      <c r="J545" s="26">
        <f t="shared" si="317"/>
        <v>-1459</v>
      </c>
      <c r="K545" s="117"/>
      <c r="L545" s="117"/>
      <c r="M545" s="38">
        <f t="shared" si="318"/>
        <v>-1459</v>
      </c>
      <c r="N545" s="122"/>
      <c r="O545" s="123"/>
      <c r="P545" s="26">
        <f t="shared" si="319"/>
        <v>-1459</v>
      </c>
      <c r="Q545" s="117"/>
      <c r="R545" s="117"/>
      <c r="S545" s="38">
        <f t="shared" si="320"/>
        <v>-1459</v>
      </c>
      <c r="T545" s="122"/>
      <c r="U545" s="124"/>
      <c r="V545" s="20">
        <f t="shared" si="321"/>
        <v>-1459</v>
      </c>
      <c r="W545" s="143"/>
    </row>
    <row r="546" spans="1:23" ht="15.75" customHeight="1">
      <c r="A546" s="114"/>
      <c r="B546" s="122"/>
      <c r="C546" s="123"/>
      <c r="D546" s="39">
        <f t="shared" si="315"/>
        <v>-1459</v>
      </c>
      <c r="E546" s="128"/>
      <c r="F546" s="128"/>
      <c r="G546" s="55">
        <f t="shared" si="316"/>
        <v>-1459</v>
      </c>
      <c r="H546" s="124"/>
      <c r="I546" s="123"/>
      <c r="J546" s="39">
        <f t="shared" si="317"/>
        <v>-1459</v>
      </c>
      <c r="K546" s="128"/>
      <c r="L546" s="128"/>
      <c r="M546" s="40">
        <f t="shared" si="318"/>
        <v>-1459</v>
      </c>
      <c r="N546" s="122"/>
      <c r="O546" s="123"/>
      <c r="P546" s="39">
        <f t="shared" si="319"/>
        <v>-1459</v>
      </c>
      <c r="Q546" s="128"/>
      <c r="R546" s="128"/>
      <c r="S546" s="40">
        <f t="shared" si="320"/>
        <v>-1459</v>
      </c>
      <c r="T546" s="122"/>
      <c r="U546" s="123"/>
      <c r="V546" s="49">
        <f t="shared" si="321"/>
        <v>-1459</v>
      </c>
      <c r="W546" s="143"/>
    </row>
    <row r="547" spans="1:23" ht="15.75" customHeight="1">
      <c r="A547" s="87"/>
      <c r="B547" s="77">
        <f ca="1">IFERROR(__xludf.DUMMYFUNCTION("DATE(VALUE(LEFT($B$2,4)),VALUE(MID($B$2,6,2)),VALUE(RIGHT($B$2,2)))
+ (VALUE(REGEXEXTRACT(INDIRECT(""A""&amp;ROW()+1),""\d+""))-1)*7
+ INT((COLUMN()-COLUMN($B547))/3)
"),47440)</f>
        <v>47440</v>
      </c>
      <c r="C547" s="81"/>
      <c r="D547" s="82"/>
      <c r="E547" s="77">
        <f ca="1">IFERROR(__xludf.DUMMYFUNCTION("DATE(VALUE(LEFT($B$2,4)),VALUE(MID($B$2,6,2)),VALUE(RIGHT($B$2,2)))
+ (VALUE(REGEXEXTRACT(INDIRECT(""A""&amp;ROW()+1),""\d+""))-1)*7
+ INT((COLUMN()-COLUMN($B547))/3)
"),47441)</f>
        <v>47441</v>
      </c>
      <c r="F547" s="81"/>
      <c r="G547" s="82"/>
      <c r="H547" s="77">
        <f ca="1">IFERROR(__xludf.DUMMYFUNCTION("DATE(VALUE(LEFT($B$2,4)),VALUE(MID($B$2,6,2)),VALUE(RIGHT($B$2,2)))
+ (VALUE(REGEXEXTRACT(INDIRECT(""A""&amp;ROW()+1),""\d+""))-1)*7
+ INT((COLUMN()-COLUMN($B547))/3)
"),47442)</f>
        <v>47442</v>
      </c>
      <c r="I547" s="81"/>
      <c r="J547" s="82"/>
      <c r="K547" s="77">
        <f ca="1">IFERROR(__xludf.DUMMYFUNCTION("DATE(VALUE(LEFT($B$2,4)),VALUE(MID($B$2,6,2)),VALUE(RIGHT($B$2,2)))
+ (VALUE(REGEXEXTRACT(INDIRECT(""A""&amp;ROW()+1),""\d+""))-1)*7
+ INT((COLUMN()-COLUMN($B547))/3)
"),47443)</f>
        <v>47443</v>
      </c>
      <c r="L547" s="81"/>
      <c r="M547" s="82"/>
      <c r="N547" s="77">
        <f ca="1">IFERROR(__xludf.DUMMYFUNCTION("DATE(VALUE(LEFT($B$2,4)),VALUE(MID($B$2,6,2)),VALUE(RIGHT($B$2,2)))
+ (VALUE(REGEXEXTRACT(INDIRECT(""A""&amp;ROW()+1),""\d+""))-1)*7
+ INT((COLUMN()-COLUMN($B547))/3)
"),47444)</f>
        <v>47444</v>
      </c>
      <c r="O547" s="81"/>
      <c r="P547" s="82"/>
      <c r="Q547" s="77">
        <f ca="1">IFERROR(__xludf.DUMMYFUNCTION("DATE(VALUE(LEFT($B$2,4)),VALUE(MID($B$2,6,2)),VALUE(RIGHT($B$2,2)))
+ (VALUE(REGEXEXTRACT(INDIRECT(""A""&amp;ROW()+1),""\d+""))-1)*7
+ INT((COLUMN()-COLUMN($B547))/3)
"),47445)</f>
        <v>47445</v>
      </c>
      <c r="R547" s="81"/>
      <c r="S547" s="82"/>
      <c r="T547" s="77">
        <f ca="1">IFERROR(__xludf.DUMMYFUNCTION("DATE(VALUE(LEFT($B$2,4)),VALUE(MID($B$2,6,2)),VALUE(RIGHT($B$2,2)))
+ (VALUE(REGEXEXTRACT(INDIRECT(""A""&amp;ROW()+1),""\d+""))-1)*7
+ INT((COLUMN()-COLUMN($B547))/3)
"),47446)</f>
        <v>47446</v>
      </c>
      <c r="U547" s="81"/>
      <c r="V547" s="82"/>
      <c r="W547" s="52" t="s">
        <v>20</v>
      </c>
    </row>
    <row r="548" spans="1:23" ht="15.75" customHeight="1">
      <c r="A548" s="47" t="s">
        <v>175</v>
      </c>
      <c r="B548" s="109"/>
      <c r="C548" s="109"/>
      <c r="D548" s="42">
        <f>V546+C548</f>
        <v>-1459</v>
      </c>
      <c r="E548" s="112"/>
      <c r="F548" s="111"/>
      <c r="G548" s="36">
        <f>D558+F548</f>
        <v>-1459</v>
      </c>
      <c r="H548" s="132"/>
      <c r="I548" s="109"/>
      <c r="J548" s="42">
        <f>G558+I548</f>
        <v>-1459</v>
      </c>
      <c r="K548" s="112"/>
      <c r="L548" s="111"/>
      <c r="M548" s="18">
        <f>J558+L548</f>
        <v>-1459</v>
      </c>
      <c r="N548" s="113"/>
      <c r="O548" s="109"/>
      <c r="P548" s="35">
        <f>M558+O548</f>
        <v>-1459</v>
      </c>
      <c r="Q548" s="112"/>
      <c r="R548" s="111"/>
      <c r="S548" s="18">
        <f>P558+R548</f>
        <v>-1459</v>
      </c>
      <c r="T548" s="173"/>
      <c r="U548" s="173"/>
      <c r="V548" s="50">
        <f>S558+U548</f>
        <v>-1459</v>
      </c>
      <c r="W548" s="172"/>
    </row>
    <row r="549" spans="1:23" ht="15.75" customHeight="1">
      <c r="A549" s="114"/>
      <c r="B549" s="117"/>
      <c r="C549" s="117"/>
      <c r="D549" s="19">
        <f t="shared" ref="D549:D558" si="322">D548+C549</f>
        <v>-1459</v>
      </c>
      <c r="E549" s="106"/>
      <c r="F549" s="107"/>
      <c r="G549" s="26">
        <f t="shared" ref="G549:G558" si="323">G548+F549</f>
        <v>-1459</v>
      </c>
      <c r="H549" s="133"/>
      <c r="I549" s="117"/>
      <c r="J549" s="19">
        <f t="shared" ref="J549:J558" si="324">J548+I549</f>
        <v>-1459</v>
      </c>
      <c r="K549" s="106"/>
      <c r="L549" s="107"/>
      <c r="M549" s="26">
        <f t="shared" ref="M549:M558" si="325">M548+L549</f>
        <v>-1459</v>
      </c>
      <c r="N549" s="118"/>
      <c r="O549" s="117"/>
      <c r="P549" s="38">
        <f t="shared" ref="P549:P558" si="326">P548+O549</f>
        <v>-1459</v>
      </c>
      <c r="Q549" s="106"/>
      <c r="R549" s="107"/>
      <c r="S549" s="26">
        <f t="shared" ref="S549:S558" si="327">S548+R549</f>
        <v>-1459</v>
      </c>
      <c r="T549" s="136"/>
      <c r="U549" s="136"/>
      <c r="V549" s="45">
        <f t="shared" ref="V549:V558" si="328">V548+U549</f>
        <v>-1459</v>
      </c>
      <c r="W549" s="143"/>
    </row>
    <row r="550" spans="1:23" ht="15.75" customHeight="1">
      <c r="A550" s="114"/>
      <c r="B550" s="118"/>
      <c r="C550" s="117"/>
      <c r="D550" s="19">
        <f t="shared" si="322"/>
        <v>-1459</v>
      </c>
      <c r="E550" s="106"/>
      <c r="F550" s="107"/>
      <c r="G550" s="26">
        <f t="shared" si="323"/>
        <v>-1459</v>
      </c>
      <c r="H550" s="133"/>
      <c r="I550" s="117"/>
      <c r="J550" s="19">
        <f t="shared" si="324"/>
        <v>-1459</v>
      </c>
      <c r="K550" s="106"/>
      <c r="L550" s="107"/>
      <c r="M550" s="26">
        <f t="shared" si="325"/>
        <v>-1459</v>
      </c>
      <c r="N550" s="117"/>
      <c r="O550" s="117"/>
      <c r="P550" s="38">
        <f t="shared" si="326"/>
        <v>-1459</v>
      </c>
      <c r="Q550" s="106"/>
      <c r="R550" s="107"/>
      <c r="S550" s="26">
        <f t="shared" si="327"/>
        <v>-1459</v>
      </c>
      <c r="T550" s="136"/>
      <c r="U550" s="136"/>
      <c r="V550" s="45">
        <f t="shared" si="328"/>
        <v>-1459</v>
      </c>
      <c r="W550" s="143"/>
    </row>
    <row r="551" spans="1:23" ht="15.75" customHeight="1">
      <c r="A551" s="114"/>
      <c r="B551" s="118"/>
      <c r="C551" s="117"/>
      <c r="D551" s="19">
        <f t="shared" si="322"/>
        <v>-1459</v>
      </c>
      <c r="E551" s="106"/>
      <c r="F551" s="107"/>
      <c r="G551" s="26">
        <f t="shared" si="323"/>
        <v>-1459</v>
      </c>
      <c r="H551" s="133"/>
      <c r="I551" s="117"/>
      <c r="J551" s="19">
        <f t="shared" si="324"/>
        <v>-1459</v>
      </c>
      <c r="K551" s="106"/>
      <c r="L551" s="107"/>
      <c r="M551" s="26">
        <f t="shared" si="325"/>
        <v>-1459</v>
      </c>
      <c r="N551" s="117"/>
      <c r="O551" s="117"/>
      <c r="P551" s="38">
        <f t="shared" si="326"/>
        <v>-1459</v>
      </c>
      <c r="Q551" s="106"/>
      <c r="R551" s="107"/>
      <c r="S551" s="26">
        <f t="shared" si="327"/>
        <v>-1459</v>
      </c>
      <c r="T551" s="136"/>
      <c r="U551" s="136"/>
      <c r="V551" s="45">
        <f t="shared" si="328"/>
        <v>-1459</v>
      </c>
      <c r="W551" s="143"/>
    </row>
    <row r="552" spans="1:23" ht="15.75" customHeight="1">
      <c r="A552" s="114"/>
      <c r="B552" s="118"/>
      <c r="C552" s="117"/>
      <c r="D552" s="19">
        <f t="shared" si="322"/>
        <v>-1459</v>
      </c>
      <c r="E552" s="106"/>
      <c r="F552" s="107"/>
      <c r="G552" s="26">
        <f t="shared" si="323"/>
        <v>-1459</v>
      </c>
      <c r="H552" s="133"/>
      <c r="I552" s="117"/>
      <c r="J552" s="19">
        <f t="shared" si="324"/>
        <v>-1459</v>
      </c>
      <c r="K552" s="106"/>
      <c r="L552" s="107"/>
      <c r="M552" s="26">
        <f t="shared" si="325"/>
        <v>-1459</v>
      </c>
      <c r="N552" s="117"/>
      <c r="O552" s="117"/>
      <c r="P552" s="38">
        <f t="shared" si="326"/>
        <v>-1459</v>
      </c>
      <c r="Q552" s="106"/>
      <c r="R552" s="107"/>
      <c r="S552" s="26">
        <f t="shared" si="327"/>
        <v>-1459</v>
      </c>
      <c r="T552" s="136"/>
      <c r="U552" s="136"/>
      <c r="V552" s="45">
        <f t="shared" si="328"/>
        <v>-1459</v>
      </c>
      <c r="W552" s="143"/>
    </row>
    <row r="553" spans="1:23" ht="15.75" customHeight="1">
      <c r="A553" s="114"/>
      <c r="B553" s="118"/>
      <c r="C553" s="117"/>
      <c r="D553" s="19">
        <f t="shared" si="322"/>
        <v>-1459</v>
      </c>
      <c r="E553" s="106"/>
      <c r="F553" s="107"/>
      <c r="G553" s="26">
        <f t="shared" si="323"/>
        <v>-1459</v>
      </c>
      <c r="H553" s="133"/>
      <c r="I553" s="117"/>
      <c r="J553" s="19">
        <f t="shared" si="324"/>
        <v>-1459</v>
      </c>
      <c r="K553" s="106"/>
      <c r="L553" s="107"/>
      <c r="M553" s="26">
        <f t="shared" si="325"/>
        <v>-1459</v>
      </c>
      <c r="N553" s="117"/>
      <c r="O553" s="117"/>
      <c r="P553" s="38">
        <f t="shared" si="326"/>
        <v>-1459</v>
      </c>
      <c r="Q553" s="106"/>
      <c r="R553" s="107"/>
      <c r="S553" s="26">
        <f t="shared" si="327"/>
        <v>-1459</v>
      </c>
      <c r="T553" s="136"/>
      <c r="U553" s="136"/>
      <c r="V553" s="45">
        <f t="shared" si="328"/>
        <v>-1459</v>
      </c>
      <c r="W553" s="143"/>
    </row>
    <row r="554" spans="1:23" ht="15.75" customHeight="1">
      <c r="A554" s="114"/>
      <c r="B554" s="118"/>
      <c r="C554" s="117"/>
      <c r="D554" s="19">
        <f t="shared" si="322"/>
        <v>-1459</v>
      </c>
      <c r="E554" s="106"/>
      <c r="F554" s="107"/>
      <c r="G554" s="26">
        <f t="shared" si="323"/>
        <v>-1459</v>
      </c>
      <c r="H554" s="133"/>
      <c r="I554" s="117"/>
      <c r="J554" s="19">
        <f t="shared" si="324"/>
        <v>-1459</v>
      </c>
      <c r="K554" s="106"/>
      <c r="L554" s="107"/>
      <c r="M554" s="26">
        <f t="shared" si="325"/>
        <v>-1459</v>
      </c>
      <c r="N554" s="117"/>
      <c r="O554" s="117"/>
      <c r="P554" s="38">
        <f t="shared" si="326"/>
        <v>-1459</v>
      </c>
      <c r="Q554" s="106"/>
      <c r="R554" s="107"/>
      <c r="S554" s="26">
        <f t="shared" si="327"/>
        <v>-1459</v>
      </c>
      <c r="T554" s="136"/>
      <c r="U554" s="136"/>
      <c r="V554" s="45">
        <f t="shared" si="328"/>
        <v>-1459</v>
      </c>
      <c r="W554" s="143"/>
    </row>
    <row r="555" spans="1:23" ht="15.75" customHeight="1">
      <c r="A555" s="114"/>
      <c r="B555" s="118"/>
      <c r="C555" s="117"/>
      <c r="D555" s="19">
        <f t="shared" si="322"/>
        <v>-1459</v>
      </c>
      <c r="E555" s="106"/>
      <c r="F555" s="107"/>
      <c r="G555" s="26">
        <f t="shared" si="323"/>
        <v>-1459</v>
      </c>
      <c r="H555" s="133"/>
      <c r="I555" s="117"/>
      <c r="J555" s="19">
        <f t="shared" si="324"/>
        <v>-1459</v>
      </c>
      <c r="K555" s="106"/>
      <c r="L555" s="107"/>
      <c r="M555" s="26">
        <f t="shared" si="325"/>
        <v>-1459</v>
      </c>
      <c r="N555" s="117"/>
      <c r="O555" s="117"/>
      <c r="P555" s="38">
        <f t="shared" si="326"/>
        <v>-1459</v>
      </c>
      <c r="Q555" s="106"/>
      <c r="R555" s="107"/>
      <c r="S555" s="26">
        <f t="shared" si="327"/>
        <v>-1459</v>
      </c>
      <c r="T555" s="136"/>
      <c r="U555" s="136"/>
      <c r="V555" s="45">
        <f t="shared" si="328"/>
        <v>-1459</v>
      </c>
      <c r="W555" s="143"/>
    </row>
    <row r="556" spans="1:23" ht="15.75" customHeight="1">
      <c r="A556" s="114"/>
      <c r="B556" s="117"/>
      <c r="C556" s="117"/>
      <c r="D556" s="19">
        <f t="shared" si="322"/>
        <v>-1459</v>
      </c>
      <c r="E556" s="106"/>
      <c r="F556" s="107"/>
      <c r="G556" s="26">
        <f t="shared" si="323"/>
        <v>-1459</v>
      </c>
      <c r="H556" s="133"/>
      <c r="I556" s="117"/>
      <c r="J556" s="19">
        <f t="shared" si="324"/>
        <v>-1459</v>
      </c>
      <c r="K556" s="106"/>
      <c r="L556" s="107"/>
      <c r="M556" s="26">
        <f t="shared" si="325"/>
        <v>-1459</v>
      </c>
      <c r="N556" s="117"/>
      <c r="O556" s="117"/>
      <c r="P556" s="38">
        <f t="shared" si="326"/>
        <v>-1459</v>
      </c>
      <c r="Q556" s="106"/>
      <c r="R556" s="107"/>
      <c r="S556" s="26">
        <f t="shared" si="327"/>
        <v>-1459</v>
      </c>
      <c r="T556" s="136"/>
      <c r="U556" s="136"/>
      <c r="V556" s="45">
        <f t="shared" si="328"/>
        <v>-1459</v>
      </c>
      <c r="W556" s="143"/>
    </row>
    <row r="557" spans="1:23" ht="15.75" customHeight="1">
      <c r="A557" s="114"/>
      <c r="B557" s="117"/>
      <c r="C557" s="117"/>
      <c r="D557" s="19">
        <f t="shared" si="322"/>
        <v>-1459</v>
      </c>
      <c r="E557" s="122"/>
      <c r="F557" s="123"/>
      <c r="G557" s="26">
        <f t="shared" si="323"/>
        <v>-1459</v>
      </c>
      <c r="H557" s="133"/>
      <c r="I557" s="117"/>
      <c r="J557" s="19">
        <f t="shared" si="324"/>
        <v>-1459</v>
      </c>
      <c r="K557" s="122"/>
      <c r="L557" s="123"/>
      <c r="M557" s="26">
        <f t="shared" si="325"/>
        <v>-1459</v>
      </c>
      <c r="N557" s="117"/>
      <c r="O557" s="117"/>
      <c r="P557" s="38">
        <f t="shared" si="326"/>
        <v>-1459</v>
      </c>
      <c r="Q557" s="122"/>
      <c r="R557" s="123"/>
      <c r="S557" s="26">
        <f t="shared" si="327"/>
        <v>-1459</v>
      </c>
      <c r="T557" s="136"/>
      <c r="U557" s="136"/>
      <c r="V557" s="45">
        <f t="shared" si="328"/>
        <v>-1459</v>
      </c>
      <c r="W557" s="143"/>
    </row>
    <row r="558" spans="1:23" ht="15.75" customHeight="1">
      <c r="A558" s="114"/>
      <c r="B558" s="128"/>
      <c r="C558" s="128"/>
      <c r="D558" s="29">
        <f t="shared" si="322"/>
        <v>-1459</v>
      </c>
      <c r="E558" s="122"/>
      <c r="F558" s="123"/>
      <c r="G558" s="53">
        <f t="shared" si="323"/>
        <v>-1459</v>
      </c>
      <c r="H558" s="140"/>
      <c r="I558" s="128"/>
      <c r="J558" s="29">
        <f t="shared" si="324"/>
        <v>-1459</v>
      </c>
      <c r="K558" s="122"/>
      <c r="L558" s="123"/>
      <c r="M558" s="39">
        <f t="shared" si="325"/>
        <v>-1459</v>
      </c>
      <c r="N558" s="128"/>
      <c r="O558" s="128"/>
      <c r="P558" s="40">
        <f t="shared" si="326"/>
        <v>-1459</v>
      </c>
      <c r="Q558" s="122"/>
      <c r="R558" s="123"/>
      <c r="S558" s="39">
        <f t="shared" si="327"/>
        <v>-1459</v>
      </c>
      <c r="T558" s="141"/>
      <c r="U558" s="141"/>
      <c r="V558" s="46">
        <f t="shared" si="328"/>
        <v>-1459</v>
      </c>
      <c r="W558" s="143"/>
    </row>
    <row r="559" spans="1:23" ht="15.75" customHeight="1">
      <c r="A559" s="87"/>
      <c r="B559" s="77">
        <f ca="1">IFERROR(__xludf.DUMMYFUNCTION("DATE(VALUE(LEFT($B$2,4)),VALUE(MID($B$2,6,2)),VALUE(RIGHT($B$2,2)))
+ (VALUE(REGEXEXTRACT(INDIRECT(""A""&amp;ROW()+1),""\d+""))-1)*7
+ INT((COLUMN()-COLUMN($B559))/3)
"),47447)</f>
        <v>47447</v>
      </c>
      <c r="C559" s="81"/>
      <c r="D559" s="82"/>
      <c r="E559" s="77">
        <f ca="1">IFERROR(__xludf.DUMMYFUNCTION("DATE(VALUE(LEFT($B$2,4)),VALUE(MID($B$2,6,2)),VALUE(RIGHT($B$2,2)))
+ (VALUE(REGEXEXTRACT(INDIRECT(""A""&amp;ROW()+1),""\d+""))-1)*7
+ INT((COLUMN()-COLUMN($B559))/3)
"),47448)</f>
        <v>47448</v>
      </c>
      <c r="F559" s="81"/>
      <c r="G559" s="82"/>
      <c r="H559" s="77">
        <f ca="1">IFERROR(__xludf.DUMMYFUNCTION("DATE(VALUE(LEFT($B$2,4)),VALUE(MID($B$2,6,2)),VALUE(RIGHT($B$2,2)))
+ (VALUE(REGEXEXTRACT(INDIRECT(""A""&amp;ROW()+1),""\d+""))-1)*7
+ INT((COLUMN()-COLUMN($B559))/3)
"),47449)</f>
        <v>47449</v>
      </c>
      <c r="I559" s="81"/>
      <c r="J559" s="82"/>
      <c r="K559" s="77">
        <f ca="1">IFERROR(__xludf.DUMMYFUNCTION("DATE(VALUE(LEFT($B$2,4)),VALUE(MID($B$2,6,2)),VALUE(RIGHT($B$2,2)))
+ (VALUE(REGEXEXTRACT(INDIRECT(""A""&amp;ROW()+1),""\d+""))-1)*7
+ INT((COLUMN()-COLUMN($B559))/3)
"),47450)</f>
        <v>47450</v>
      </c>
      <c r="L559" s="81"/>
      <c r="M559" s="82"/>
      <c r="N559" s="77">
        <f ca="1">IFERROR(__xludf.DUMMYFUNCTION("DATE(VALUE(LEFT($B$2,4)),VALUE(MID($B$2,6,2)),VALUE(RIGHT($B$2,2)))
+ (VALUE(REGEXEXTRACT(INDIRECT(""A""&amp;ROW()+1),""\d+""))-1)*7
+ INT((COLUMN()-COLUMN($B559))/3)
"),47451)</f>
        <v>47451</v>
      </c>
      <c r="O559" s="81"/>
      <c r="P559" s="82"/>
      <c r="Q559" s="77">
        <f ca="1">IFERROR(__xludf.DUMMYFUNCTION("DATE(VALUE(LEFT($B$2,4)),VALUE(MID($B$2,6,2)),VALUE(RIGHT($B$2,2)))
+ (VALUE(REGEXEXTRACT(INDIRECT(""A""&amp;ROW()+1),""\d+""))-1)*7
+ INT((COLUMN()-COLUMN($B559))/3)
"),47452)</f>
        <v>47452</v>
      </c>
      <c r="R559" s="81"/>
      <c r="S559" s="82"/>
      <c r="T559" s="77">
        <f ca="1">IFERROR(__xludf.DUMMYFUNCTION("DATE(VALUE(LEFT($B$2,4)),VALUE(MID($B$2,6,2)),VALUE(RIGHT($B$2,2)))
+ (VALUE(REGEXEXTRACT(INDIRECT(""A""&amp;ROW()+1),""\d+""))-1)*7
+ INT((COLUMN()-COLUMN($B559))/3)
"),47453)</f>
        <v>47453</v>
      </c>
      <c r="U559" s="81"/>
      <c r="V559" s="82"/>
      <c r="W559" s="143"/>
    </row>
    <row r="560" spans="1:23" ht="15.75" customHeight="1">
      <c r="A560" s="51" t="s">
        <v>176</v>
      </c>
      <c r="B560" s="112"/>
      <c r="C560" s="111"/>
      <c r="D560" s="17">
        <f>V558+C560</f>
        <v>-1459</v>
      </c>
      <c r="E560" s="109"/>
      <c r="F560" s="109"/>
      <c r="G560" s="42">
        <f>D570+F560</f>
        <v>-1459</v>
      </c>
      <c r="H560" s="112"/>
      <c r="I560" s="111"/>
      <c r="J560" s="17">
        <f>G570+I560</f>
        <v>-1459</v>
      </c>
      <c r="K560" s="109"/>
      <c r="L560" s="109"/>
      <c r="M560" s="35">
        <f>J570+L560</f>
        <v>-1459</v>
      </c>
      <c r="N560" s="112"/>
      <c r="O560" s="111"/>
      <c r="P560" s="17">
        <f>M570+O560</f>
        <v>-1459</v>
      </c>
      <c r="Q560" s="109"/>
      <c r="R560" s="109"/>
      <c r="S560" s="35">
        <f>P570+R560</f>
        <v>-1459</v>
      </c>
      <c r="T560" s="112"/>
      <c r="U560" s="111"/>
      <c r="V560" s="48">
        <f>S570+U560</f>
        <v>-1459</v>
      </c>
      <c r="W560" s="143"/>
    </row>
    <row r="561" spans="1:23" ht="15.75" customHeight="1">
      <c r="A561" s="114"/>
      <c r="B561" s="106"/>
      <c r="C561" s="107"/>
      <c r="D561" s="26">
        <f t="shared" ref="D561:D570" si="329">D560+C561</f>
        <v>-1459</v>
      </c>
      <c r="E561" s="117"/>
      <c r="F561" s="117"/>
      <c r="G561" s="19">
        <f t="shared" ref="G561:G570" si="330">G560+F561</f>
        <v>-1459</v>
      </c>
      <c r="H561" s="106"/>
      <c r="I561" s="107"/>
      <c r="J561" s="26">
        <f t="shared" ref="J561:J570" si="331">J560+I561</f>
        <v>-1459</v>
      </c>
      <c r="K561" s="117"/>
      <c r="L561" s="117"/>
      <c r="M561" s="38">
        <f t="shared" ref="M561:M570" si="332">M560+L561</f>
        <v>-1459</v>
      </c>
      <c r="N561" s="106"/>
      <c r="O561" s="107"/>
      <c r="P561" s="26">
        <f t="shared" ref="P561:P570" si="333">P560+O561</f>
        <v>-1459</v>
      </c>
      <c r="Q561" s="117"/>
      <c r="R561" s="117"/>
      <c r="S561" s="38">
        <f t="shared" ref="S561:S570" si="334">S560+R561</f>
        <v>-1459</v>
      </c>
      <c r="T561" s="106"/>
      <c r="U561" s="107"/>
      <c r="V561" s="20">
        <f t="shared" ref="V561:V570" si="335">V560+U561</f>
        <v>-1459</v>
      </c>
      <c r="W561" s="143"/>
    </row>
    <row r="562" spans="1:23" ht="15.75" customHeight="1">
      <c r="A562" s="114"/>
      <c r="B562" s="106"/>
      <c r="C562" s="107"/>
      <c r="D562" s="26">
        <f t="shared" si="329"/>
        <v>-1459</v>
      </c>
      <c r="E562" s="117"/>
      <c r="F562" s="117"/>
      <c r="G562" s="19">
        <f t="shared" si="330"/>
        <v>-1459</v>
      </c>
      <c r="H562" s="106"/>
      <c r="I562" s="107"/>
      <c r="J562" s="26">
        <f t="shared" si="331"/>
        <v>-1459</v>
      </c>
      <c r="K562" s="117"/>
      <c r="L562" s="117"/>
      <c r="M562" s="38">
        <f t="shared" si="332"/>
        <v>-1459</v>
      </c>
      <c r="N562" s="106"/>
      <c r="O562" s="107"/>
      <c r="P562" s="26">
        <f t="shared" si="333"/>
        <v>-1459</v>
      </c>
      <c r="Q562" s="117"/>
      <c r="R562" s="117"/>
      <c r="S562" s="38">
        <f t="shared" si="334"/>
        <v>-1459</v>
      </c>
      <c r="T562" s="106"/>
      <c r="U562" s="116"/>
      <c r="V562" s="20">
        <f t="shared" si="335"/>
        <v>-1459</v>
      </c>
      <c r="W562" s="143"/>
    </row>
    <row r="563" spans="1:23" ht="15.75" customHeight="1">
      <c r="A563" s="114"/>
      <c r="B563" s="106"/>
      <c r="C563" s="107"/>
      <c r="D563" s="26">
        <f t="shared" si="329"/>
        <v>-1459</v>
      </c>
      <c r="E563" s="117"/>
      <c r="F563" s="117"/>
      <c r="G563" s="19">
        <f t="shared" si="330"/>
        <v>-1459</v>
      </c>
      <c r="H563" s="106"/>
      <c r="I563" s="107"/>
      <c r="J563" s="26">
        <f t="shared" si="331"/>
        <v>-1459</v>
      </c>
      <c r="K563" s="117"/>
      <c r="L563" s="117"/>
      <c r="M563" s="38">
        <f t="shared" si="332"/>
        <v>-1459</v>
      </c>
      <c r="N563" s="106"/>
      <c r="O563" s="107"/>
      <c r="P563" s="26">
        <f t="shared" si="333"/>
        <v>-1459</v>
      </c>
      <c r="Q563" s="117"/>
      <c r="R563" s="117"/>
      <c r="S563" s="38">
        <f t="shared" si="334"/>
        <v>-1459</v>
      </c>
      <c r="T563" s="106"/>
      <c r="U563" s="116"/>
      <c r="V563" s="20">
        <f t="shared" si="335"/>
        <v>-1459</v>
      </c>
      <c r="W563" s="143"/>
    </row>
    <row r="564" spans="1:23" ht="15.75" customHeight="1">
      <c r="A564" s="114"/>
      <c r="B564" s="106"/>
      <c r="C564" s="107"/>
      <c r="D564" s="26">
        <f t="shared" si="329"/>
        <v>-1459</v>
      </c>
      <c r="E564" s="117"/>
      <c r="F564" s="117"/>
      <c r="G564" s="19">
        <f t="shared" si="330"/>
        <v>-1459</v>
      </c>
      <c r="H564" s="106"/>
      <c r="I564" s="107"/>
      <c r="J564" s="26">
        <f t="shared" si="331"/>
        <v>-1459</v>
      </c>
      <c r="K564" s="117"/>
      <c r="L564" s="117"/>
      <c r="M564" s="38">
        <f t="shared" si="332"/>
        <v>-1459</v>
      </c>
      <c r="N564" s="106"/>
      <c r="O564" s="107"/>
      <c r="P564" s="26">
        <f t="shared" si="333"/>
        <v>-1459</v>
      </c>
      <c r="Q564" s="117"/>
      <c r="R564" s="117"/>
      <c r="S564" s="38">
        <f t="shared" si="334"/>
        <v>-1459</v>
      </c>
      <c r="T564" s="106"/>
      <c r="U564" s="116"/>
      <c r="V564" s="20">
        <f t="shared" si="335"/>
        <v>-1459</v>
      </c>
      <c r="W564" s="143"/>
    </row>
    <row r="565" spans="1:23" ht="15.75" customHeight="1">
      <c r="A565" s="114"/>
      <c r="B565" s="106"/>
      <c r="C565" s="107"/>
      <c r="D565" s="26">
        <f t="shared" si="329"/>
        <v>-1459</v>
      </c>
      <c r="E565" s="117"/>
      <c r="F565" s="117"/>
      <c r="G565" s="19">
        <f t="shared" si="330"/>
        <v>-1459</v>
      </c>
      <c r="H565" s="106"/>
      <c r="I565" s="107"/>
      <c r="J565" s="26">
        <f t="shared" si="331"/>
        <v>-1459</v>
      </c>
      <c r="K565" s="117"/>
      <c r="L565" s="117"/>
      <c r="M565" s="38">
        <f t="shared" si="332"/>
        <v>-1459</v>
      </c>
      <c r="N565" s="106"/>
      <c r="O565" s="107"/>
      <c r="P565" s="26">
        <f t="shared" si="333"/>
        <v>-1459</v>
      </c>
      <c r="Q565" s="117"/>
      <c r="R565" s="117"/>
      <c r="S565" s="38">
        <f t="shared" si="334"/>
        <v>-1459</v>
      </c>
      <c r="T565" s="106"/>
      <c r="U565" s="116"/>
      <c r="V565" s="20">
        <f t="shared" si="335"/>
        <v>-1459</v>
      </c>
      <c r="W565" s="143"/>
    </row>
    <row r="566" spans="1:23" ht="15.75" customHeight="1">
      <c r="A566" s="114"/>
      <c r="B566" s="106"/>
      <c r="C566" s="107"/>
      <c r="D566" s="26">
        <f t="shared" si="329"/>
        <v>-1459</v>
      </c>
      <c r="E566" s="117"/>
      <c r="F566" s="117"/>
      <c r="G566" s="19">
        <f t="shared" si="330"/>
        <v>-1459</v>
      </c>
      <c r="H566" s="106"/>
      <c r="I566" s="107"/>
      <c r="J566" s="26">
        <f t="shared" si="331"/>
        <v>-1459</v>
      </c>
      <c r="K566" s="117"/>
      <c r="L566" s="117"/>
      <c r="M566" s="38">
        <f t="shared" si="332"/>
        <v>-1459</v>
      </c>
      <c r="N566" s="106"/>
      <c r="O566" s="107"/>
      <c r="P566" s="26">
        <f t="shared" si="333"/>
        <v>-1459</v>
      </c>
      <c r="Q566" s="117"/>
      <c r="R566" s="117"/>
      <c r="S566" s="38">
        <f t="shared" si="334"/>
        <v>-1459</v>
      </c>
      <c r="T566" s="106"/>
      <c r="U566" s="116"/>
      <c r="V566" s="20">
        <f t="shared" si="335"/>
        <v>-1459</v>
      </c>
      <c r="W566" s="143"/>
    </row>
    <row r="567" spans="1:23" ht="15.75" customHeight="1">
      <c r="A567" s="114"/>
      <c r="B567" s="106"/>
      <c r="C567" s="107"/>
      <c r="D567" s="26">
        <f t="shared" si="329"/>
        <v>-1459</v>
      </c>
      <c r="E567" s="117"/>
      <c r="F567" s="117"/>
      <c r="G567" s="19">
        <f t="shared" si="330"/>
        <v>-1459</v>
      </c>
      <c r="H567" s="106"/>
      <c r="I567" s="107"/>
      <c r="J567" s="26">
        <f t="shared" si="331"/>
        <v>-1459</v>
      </c>
      <c r="K567" s="117"/>
      <c r="L567" s="117"/>
      <c r="M567" s="38">
        <f t="shared" si="332"/>
        <v>-1459</v>
      </c>
      <c r="N567" s="106"/>
      <c r="O567" s="107"/>
      <c r="P567" s="26">
        <f t="shared" si="333"/>
        <v>-1459</v>
      </c>
      <c r="Q567" s="117"/>
      <c r="R567" s="117"/>
      <c r="S567" s="38">
        <f t="shared" si="334"/>
        <v>-1459</v>
      </c>
      <c r="T567" s="106"/>
      <c r="U567" s="116"/>
      <c r="V567" s="20">
        <f t="shared" si="335"/>
        <v>-1459</v>
      </c>
      <c r="W567" s="143"/>
    </row>
    <row r="568" spans="1:23" ht="15.75" customHeight="1">
      <c r="A568" s="114"/>
      <c r="B568" s="122"/>
      <c r="C568" s="123"/>
      <c r="D568" s="26">
        <f t="shared" si="329"/>
        <v>-1459</v>
      </c>
      <c r="E568" s="117"/>
      <c r="F568" s="117"/>
      <c r="G568" s="19">
        <f t="shared" si="330"/>
        <v>-1459</v>
      </c>
      <c r="H568" s="122"/>
      <c r="I568" s="123"/>
      <c r="J568" s="26">
        <f t="shared" si="331"/>
        <v>-1459</v>
      </c>
      <c r="K568" s="117"/>
      <c r="L568" s="117"/>
      <c r="M568" s="38">
        <f t="shared" si="332"/>
        <v>-1459</v>
      </c>
      <c r="N568" s="122"/>
      <c r="O568" s="123"/>
      <c r="P568" s="26">
        <f t="shared" si="333"/>
        <v>-1459</v>
      </c>
      <c r="Q568" s="117"/>
      <c r="R568" s="117"/>
      <c r="S568" s="38">
        <f t="shared" si="334"/>
        <v>-1459</v>
      </c>
      <c r="T568" s="106"/>
      <c r="U568" s="116"/>
      <c r="V568" s="20">
        <f t="shared" si="335"/>
        <v>-1459</v>
      </c>
      <c r="W568" s="143"/>
    </row>
    <row r="569" spans="1:23" ht="15.75" customHeight="1">
      <c r="A569" s="114"/>
      <c r="B569" s="122"/>
      <c r="C569" s="123"/>
      <c r="D569" s="26">
        <f t="shared" si="329"/>
        <v>-1459</v>
      </c>
      <c r="E569" s="117"/>
      <c r="F569" s="117"/>
      <c r="G569" s="19">
        <f t="shared" si="330"/>
        <v>-1459</v>
      </c>
      <c r="H569" s="122"/>
      <c r="I569" s="123"/>
      <c r="J569" s="26">
        <f t="shared" si="331"/>
        <v>-1459</v>
      </c>
      <c r="K569" s="117"/>
      <c r="L569" s="117"/>
      <c r="M569" s="38">
        <f t="shared" si="332"/>
        <v>-1459</v>
      </c>
      <c r="N569" s="122"/>
      <c r="O569" s="123"/>
      <c r="P569" s="26">
        <f t="shared" si="333"/>
        <v>-1459</v>
      </c>
      <c r="Q569" s="117"/>
      <c r="R569" s="117"/>
      <c r="S569" s="38">
        <f t="shared" si="334"/>
        <v>-1459</v>
      </c>
      <c r="T569" s="122"/>
      <c r="U569" s="124"/>
      <c r="V569" s="20">
        <f t="shared" si="335"/>
        <v>-1459</v>
      </c>
      <c r="W569" s="143"/>
    </row>
    <row r="570" spans="1:23" ht="15.75" customHeight="1">
      <c r="A570" s="114"/>
      <c r="B570" s="122"/>
      <c r="C570" s="123"/>
      <c r="D570" s="39">
        <f t="shared" si="329"/>
        <v>-1459</v>
      </c>
      <c r="E570" s="128"/>
      <c r="F570" s="128"/>
      <c r="G570" s="29">
        <f t="shared" si="330"/>
        <v>-1459</v>
      </c>
      <c r="H570" s="122"/>
      <c r="I570" s="123"/>
      <c r="J570" s="39">
        <f t="shared" si="331"/>
        <v>-1459</v>
      </c>
      <c r="K570" s="128"/>
      <c r="L570" s="128"/>
      <c r="M570" s="40">
        <f t="shared" si="332"/>
        <v>-1459</v>
      </c>
      <c r="N570" s="122"/>
      <c r="O570" s="123"/>
      <c r="P570" s="39">
        <f t="shared" si="333"/>
        <v>-1459</v>
      </c>
      <c r="Q570" s="128"/>
      <c r="R570" s="128"/>
      <c r="S570" s="40">
        <f t="shared" si="334"/>
        <v>-1459</v>
      </c>
      <c r="T570" s="122"/>
      <c r="U570" s="123"/>
      <c r="V570" s="49">
        <f t="shared" si="335"/>
        <v>-1459</v>
      </c>
      <c r="W570" s="143"/>
    </row>
    <row r="571" spans="1:23" ht="15.75" customHeight="1">
      <c r="A571" s="87"/>
      <c r="B571" s="77">
        <f ca="1">IFERROR(__xludf.DUMMYFUNCTION("DATE(VALUE(LEFT($B$2,4)),VALUE(MID($B$2,6,2)),VALUE(RIGHT($B$2,2)))
+ (VALUE(REGEXEXTRACT(INDIRECT(""A""&amp;ROW()+1),""\d+""))-1)*7
+ INT((COLUMN()-COLUMN($B571))/3)
"),47454)</f>
        <v>47454</v>
      </c>
      <c r="C571" s="81"/>
      <c r="D571" s="82"/>
      <c r="E571" s="77">
        <f ca="1">IFERROR(__xludf.DUMMYFUNCTION("DATE(VALUE(LEFT($B$2,4)),VALUE(MID($B$2,6,2)),VALUE(RIGHT($B$2,2)))
+ (VALUE(REGEXEXTRACT(INDIRECT(""A""&amp;ROW()+1),""\d+""))-1)*7
+ INT((COLUMN()-COLUMN($B571))/3)
"),47455)</f>
        <v>47455</v>
      </c>
      <c r="F571" s="81"/>
      <c r="G571" s="82"/>
      <c r="H571" s="77">
        <f ca="1">IFERROR(__xludf.DUMMYFUNCTION("DATE(VALUE(LEFT($B$2,4)),VALUE(MID($B$2,6,2)),VALUE(RIGHT($B$2,2)))
+ (VALUE(REGEXEXTRACT(INDIRECT(""A""&amp;ROW()+1),""\d+""))-1)*7
+ INT((COLUMN()-COLUMN($B571))/3)
"),47456)</f>
        <v>47456</v>
      </c>
      <c r="I571" s="81"/>
      <c r="J571" s="82"/>
      <c r="K571" s="77">
        <f ca="1">IFERROR(__xludf.DUMMYFUNCTION("DATE(VALUE(LEFT($B$2,4)),VALUE(MID($B$2,6,2)),VALUE(RIGHT($B$2,2)))
+ (VALUE(REGEXEXTRACT(INDIRECT(""A""&amp;ROW()+1),""\d+""))-1)*7
+ INT((COLUMN()-COLUMN($B571))/3)
"),47457)</f>
        <v>47457</v>
      </c>
      <c r="L571" s="81"/>
      <c r="M571" s="82"/>
      <c r="N571" s="77">
        <f ca="1">IFERROR(__xludf.DUMMYFUNCTION("DATE(VALUE(LEFT($B$2,4)),VALUE(MID($B$2,6,2)),VALUE(RIGHT($B$2,2)))
+ (VALUE(REGEXEXTRACT(INDIRECT(""A""&amp;ROW()+1),""\d+""))-1)*7
+ INT((COLUMN()-COLUMN($B571))/3)
"),47458)</f>
        <v>47458</v>
      </c>
      <c r="O571" s="81"/>
      <c r="P571" s="82"/>
      <c r="Q571" s="77">
        <f ca="1">IFERROR(__xludf.DUMMYFUNCTION("DATE(VALUE(LEFT($B$2,4)),VALUE(MID($B$2,6,2)),VALUE(RIGHT($B$2,2)))
+ (VALUE(REGEXEXTRACT(INDIRECT(""A""&amp;ROW()+1),""\d+""))-1)*7
+ INT((COLUMN()-COLUMN($B571))/3)
"),47459)</f>
        <v>47459</v>
      </c>
      <c r="R571" s="81"/>
      <c r="S571" s="82"/>
      <c r="T571" s="77">
        <f ca="1">IFERROR(__xludf.DUMMYFUNCTION("DATE(VALUE(LEFT($B$2,4)),VALUE(MID($B$2,6,2)),VALUE(RIGHT($B$2,2)))
+ (VALUE(REGEXEXTRACT(INDIRECT(""A""&amp;ROW()+1),""\d+""))-1)*7
+ INT((COLUMN()-COLUMN($B571))/3)
"),47460)</f>
        <v>47460</v>
      </c>
      <c r="U571" s="81"/>
      <c r="V571" s="82"/>
      <c r="W571" s="52" t="s">
        <v>20</v>
      </c>
    </row>
    <row r="572" spans="1:23" ht="15.75" customHeight="1">
      <c r="A572" s="47" t="s">
        <v>177</v>
      </c>
      <c r="B572" s="113"/>
      <c r="C572" s="109"/>
      <c r="D572" s="42">
        <f>V570+C572</f>
        <v>-1459</v>
      </c>
      <c r="E572" s="112"/>
      <c r="F572" s="111"/>
      <c r="G572" s="36">
        <f>D582+F572</f>
        <v>-1459</v>
      </c>
      <c r="H572" s="109"/>
      <c r="I572" s="109"/>
      <c r="J572" s="42">
        <f>G582+I572</f>
        <v>-1459</v>
      </c>
      <c r="K572" s="112"/>
      <c r="L572" s="111"/>
      <c r="M572" s="18">
        <f>J582+L572</f>
        <v>-1459</v>
      </c>
      <c r="N572" s="113"/>
      <c r="O572" s="109"/>
      <c r="P572" s="35">
        <f>M582+O572</f>
        <v>-1459</v>
      </c>
      <c r="Q572" s="112"/>
      <c r="R572" s="111"/>
      <c r="S572" s="36">
        <f>P582+R572</f>
        <v>-1459</v>
      </c>
      <c r="T572" s="176"/>
      <c r="U572" s="173"/>
      <c r="V572" s="50">
        <f>S582+U572</f>
        <v>-1459</v>
      </c>
      <c r="W572" s="172"/>
    </row>
    <row r="573" spans="1:23" ht="15.75" customHeight="1">
      <c r="A573" s="114"/>
      <c r="B573" s="118"/>
      <c r="C573" s="117"/>
      <c r="D573" s="19">
        <f t="shared" ref="D573:D582" si="336">D572+C573</f>
        <v>-1459</v>
      </c>
      <c r="E573" s="106"/>
      <c r="F573" s="107"/>
      <c r="G573" s="26">
        <f t="shared" ref="G573:G582" si="337">G572+F573</f>
        <v>-1459</v>
      </c>
      <c r="H573" s="117"/>
      <c r="I573" s="117"/>
      <c r="J573" s="19">
        <f t="shared" ref="J573:J582" si="338">J572+I573</f>
        <v>-1459</v>
      </c>
      <c r="K573" s="106"/>
      <c r="L573" s="107"/>
      <c r="M573" s="26">
        <f t="shared" ref="M573:M582" si="339">M572+L573</f>
        <v>-1459</v>
      </c>
      <c r="N573" s="118"/>
      <c r="O573" s="117"/>
      <c r="P573" s="38">
        <f t="shared" ref="P573:P582" si="340">P572+O573</f>
        <v>-1459</v>
      </c>
      <c r="Q573" s="106"/>
      <c r="R573" s="107"/>
      <c r="S573" s="26">
        <f t="shared" ref="S573:S582" si="341">S572+R573</f>
        <v>-1459</v>
      </c>
      <c r="T573" s="177"/>
      <c r="U573" s="136"/>
      <c r="V573" s="45">
        <f t="shared" ref="V573:V582" si="342">V572+U573</f>
        <v>-1459</v>
      </c>
      <c r="W573" s="143"/>
    </row>
    <row r="574" spans="1:23" ht="15.75" customHeight="1">
      <c r="A574" s="114"/>
      <c r="B574" s="118"/>
      <c r="C574" s="117"/>
      <c r="D574" s="19">
        <f t="shared" si="336"/>
        <v>-1459</v>
      </c>
      <c r="E574" s="106"/>
      <c r="F574" s="107"/>
      <c r="G574" s="26">
        <f t="shared" si="337"/>
        <v>-1459</v>
      </c>
      <c r="H574" s="117"/>
      <c r="I574" s="117"/>
      <c r="J574" s="19">
        <f t="shared" si="338"/>
        <v>-1459</v>
      </c>
      <c r="K574" s="106"/>
      <c r="L574" s="107"/>
      <c r="M574" s="26">
        <f t="shared" si="339"/>
        <v>-1459</v>
      </c>
      <c r="N574" s="117"/>
      <c r="O574" s="117"/>
      <c r="P574" s="38">
        <f t="shared" si="340"/>
        <v>-1459</v>
      </c>
      <c r="Q574" s="106"/>
      <c r="R574" s="107"/>
      <c r="S574" s="26">
        <f t="shared" si="341"/>
        <v>-1459</v>
      </c>
      <c r="T574" s="136"/>
      <c r="U574" s="136"/>
      <c r="V574" s="45">
        <f t="shared" si="342"/>
        <v>-1459</v>
      </c>
      <c r="W574" s="143"/>
    </row>
    <row r="575" spans="1:23" ht="15.75" customHeight="1">
      <c r="A575" s="114"/>
      <c r="B575" s="118"/>
      <c r="C575" s="117"/>
      <c r="D575" s="19">
        <f t="shared" si="336"/>
        <v>-1459</v>
      </c>
      <c r="E575" s="106"/>
      <c r="F575" s="107"/>
      <c r="G575" s="26">
        <f t="shared" si="337"/>
        <v>-1459</v>
      </c>
      <c r="H575" s="117"/>
      <c r="I575" s="117"/>
      <c r="J575" s="19">
        <f t="shared" si="338"/>
        <v>-1459</v>
      </c>
      <c r="K575" s="106"/>
      <c r="L575" s="107"/>
      <c r="M575" s="26">
        <f t="shared" si="339"/>
        <v>-1459</v>
      </c>
      <c r="N575" s="117"/>
      <c r="O575" s="117"/>
      <c r="P575" s="38">
        <f t="shared" si="340"/>
        <v>-1459</v>
      </c>
      <c r="Q575" s="106"/>
      <c r="R575" s="107"/>
      <c r="S575" s="26">
        <f t="shared" si="341"/>
        <v>-1459</v>
      </c>
      <c r="T575" s="136"/>
      <c r="U575" s="136"/>
      <c r="V575" s="45">
        <f t="shared" si="342"/>
        <v>-1459</v>
      </c>
      <c r="W575" s="143"/>
    </row>
    <row r="576" spans="1:23" ht="15.75" customHeight="1">
      <c r="A576" s="114"/>
      <c r="B576" s="118"/>
      <c r="C576" s="117"/>
      <c r="D576" s="19">
        <f t="shared" si="336"/>
        <v>-1459</v>
      </c>
      <c r="E576" s="106"/>
      <c r="F576" s="107"/>
      <c r="G576" s="26">
        <f t="shared" si="337"/>
        <v>-1459</v>
      </c>
      <c r="H576" s="117"/>
      <c r="I576" s="117"/>
      <c r="J576" s="19">
        <f t="shared" si="338"/>
        <v>-1459</v>
      </c>
      <c r="K576" s="106"/>
      <c r="L576" s="107"/>
      <c r="M576" s="26">
        <f t="shared" si="339"/>
        <v>-1459</v>
      </c>
      <c r="N576" s="117"/>
      <c r="O576" s="117"/>
      <c r="P576" s="38">
        <f t="shared" si="340"/>
        <v>-1459</v>
      </c>
      <c r="Q576" s="106"/>
      <c r="R576" s="107"/>
      <c r="S576" s="26">
        <f t="shared" si="341"/>
        <v>-1459</v>
      </c>
      <c r="T576" s="136"/>
      <c r="U576" s="136"/>
      <c r="V576" s="45">
        <f t="shared" si="342"/>
        <v>-1459</v>
      </c>
      <c r="W576" s="143"/>
    </row>
    <row r="577" spans="1:23" ht="15.75" customHeight="1">
      <c r="A577" s="114"/>
      <c r="B577" s="118"/>
      <c r="C577" s="117"/>
      <c r="D577" s="19">
        <f t="shared" si="336"/>
        <v>-1459</v>
      </c>
      <c r="E577" s="106"/>
      <c r="F577" s="107"/>
      <c r="G577" s="26">
        <f t="shared" si="337"/>
        <v>-1459</v>
      </c>
      <c r="H577" s="117"/>
      <c r="I577" s="117"/>
      <c r="J577" s="19">
        <f t="shared" si="338"/>
        <v>-1459</v>
      </c>
      <c r="K577" s="106"/>
      <c r="L577" s="107"/>
      <c r="M577" s="26">
        <f t="shared" si="339"/>
        <v>-1459</v>
      </c>
      <c r="N577" s="117"/>
      <c r="O577" s="117"/>
      <c r="P577" s="38">
        <f t="shared" si="340"/>
        <v>-1459</v>
      </c>
      <c r="Q577" s="106"/>
      <c r="R577" s="107"/>
      <c r="S577" s="26">
        <f t="shared" si="341"/>
        <v>-1459</v>
      </c>
      <c r="T577" s="136"/>
      <c r="U577" s="136"/>
      <c r="V577" s="45">
        <f t="shared" si="342"/>
        <v>-1459</v>
      </c>
      <c r="W577" s="143"/>
    </row>
    <row r="578" spans="1:23" ht="15.75" customHeight="1">
      <c r="A578" s="114"/>
      <c r="B578" s="117"/>
      <c r="C578" s="117"/>
      <c r="D578" s="19">
        <f t="shared" si="336"/>
        <v>-1459</v>
      </c>
      <c r="E578" s="106"/>
      <c r="F578" s="107"/>
      <c r="G578" s="26">
        <f t="shared" si="337"/>
        <v>-1459</v>
      </c>
      <c r="H578" s="117"/>
      <c r="I578" s="117"/>
      <c r="J578" s="19">
        <f t="shared" si="338"/>
        <v>-1459</v>
      </c>
      <c r="K578" s="106"/>
      <c r="L578" s="107"/>
      <c r="M578" s="26">
        <f t="shared" si="339"/>
        <v>-1459</v>
      </c>
      <c r="N578" s="117"/>
      <c r="O578" s="117"/>
      <c r="P578" s="38">
        <f t="shared" si="340"/>
        <v>-1459</v>
      </c>
      <c r="Q578" s="106"/>
      <c r="R578" s="107"/>
      <c r="S578" s="26">
        <f t="shared" si="341"/>
        <v>-1459</v>
      </c>
      <c r="T578" s="136"/>
      <c r="U578" s="136"/>
      <c r="V578" s="45">
        <f t="shared" si="342"/>
        <v>-1459</v>
      </c>
      <c r="W578" s="143"/>
    </row>
    <row r="579" spans="1:23" ht="15.75" customHeight="1">
      <c r="A579" s="114"/>
      <c r="B579" s="117"/>
      <c r="C579" s="117"/>
      <c r="D579" s="19">
        <f t="shared" si="336"/>
        <v>-1459</v>
      </c>
      <c r="E579" s="106"/>
      <c r="F579" s="107"/>
      <c r="G579" s="26">
        <f t="shared" si="337"/>
        <v>-1459</v>
      </c>
      <c r="H579" s="133"/>
      <c r="I579" s="117"/>
      <c r="J579" s="19">
        <f t="shared" si="338"/>
        <v>-1459</v>
      </c>
      <c r="K579" s="106"/>
      <c r="L579" s="107"/>
      <c r="M579" s="26">
        <f t="shared" si="339"/>
        <v>-1459</v>
      </c>
      <c r="N579" s="117"/>
      <c r="O579" s="117"/>
      <c r="P579" s="38">
        <f t="shared" si="340"/>
        <v>-1459</v>
      </c>
      <c r="Q579" s="106"/>
      <c r="R579" s="107"/>
      <c r="S579" s="26">
        <f t="shared" si="341"/>
        <v>-1459</v>
      </c>
      <c r="T579" s="136"/>
      <c r="U579" s="136"/>
      <c r="V579" s="45">
        <f t="shared" si="342"/>
        <v>-1459</v>
      </c>
      <c r="W579" s="143"/>
    </row>
    <row r="580" spans="1:23" ht="15.75" customHeight="1">
      <c r="A580" s="114"/>
      <c r="B580" s="117"/>
      <c r="C580" s="117"/>
      <c r="D580" s="19">
        <f t="shared" si="336"/>
        <v>-1459</v>
      </c>
      <c r="E580" s="106"/>
      <c r="F580" s="107"/>
      <c r="G580" s="26">
        <f t="shared" si="337"/>
        <v>-1459</v>
      </c>
      <c r="H580" s="133"/>
      <c r="I580" s="117"/>
      <c r="J580" s="19">
        <f t="shared" si="338"/>
        <v>-1459</v>
      </c>
      <c r="K580" s="106"/>
      <c r="L580" s="107"/>
      <c r="M580" s="26">
        <f t="shared" si="339"/>
        <v>-1459</v>
      </c>
      <c r="N580" s="117"/>
      <c r="O580" s="117"/>
      <c r="P580" s="38">
        <f t="shared" si="340"/>
        <v>-1459</v>
      </c>
      <c r="Q580" s="106"/>
      <c r="R580" s="107"/>
      <c r="S580" s="26">
        <f t="shared" si="341"/>
        <v>-1459</v>
      </c>
      <c r="T580" s="136"/>
      <c r="U580" s="136"/>
      <c r="V580" s="45">
        <f t="shared" si="342"/>
        <v>-1459</v>
      </c>
      <c r="W580" s="143"/>
    </row>
    <row r="581" spans="1:23" ht="15.75" customHeight="1">
      <c r="A581" s="114"/>
      <c r="B581" s="117"/>
      <c r="C581" s="117"/>
      <c r="D581" s="19">
        <f t="shared" si="336"/>
        <v>-1459</v>
      </c>
      <c r="E581" s="122"/>
      <c r="F581" s="123"/>
      <c r="G581" s="26">
        <f t="shared" si="337"/>
        <v>-1459</v>
      </c>
      <c r="H581" s="133"/>
      <c r="I581" s="117"/>
      <c r="J581" s="19">
        <f t="shared" si="338"/>
        <v>-1459</v>
      </c>
      <c r="K581" s="122"/>
      <c r="L581" s="123"/>
      <c r="M581" s="26">
        <f t="shared" si="339"/>
        <v>-1459</v>
      </c>
      <c r="N581" s="117"/>
      <c r="O581" s="117"/>
      <c r="P581" s="38">
        <f t="shared" si="340"/>
        <v>-1459</v>
      </c>
      <c r="Q581" s="122"/>
      <c r="R581" s="123"/>
      <c r="S581" s="26">
        <f t="shared" si="341"/>
        <v>-1459</v>
      </c>
      <c r="T581" s="136"/>
      <c r="U581" s="136"/>
      <c r="V581" s="45">
        <f t="shared" si="342"/>
        <v>-1459</v>
      </c>
      <c r="W581" s="143"/>
    </row>
    <row r="582" spans="1:23" ht="15.75" customHeight="1">
      <c r="A582" s="114"/>
      <c r="B582" s="128"/>
      <c r="C582" s="128"/>
      <c r="D582" s="29">
        <f t="shared" si="336"/>
        <v>-1459</v>
      </c>
      <c r="E582" s="122"/>
      <c r="F582" s="123"/>
      <c r="G582" s="53">
        <f t="shared" si="337"/>
        <v>-1459</v>
      </c>
      <c r="H582" s="140"/>
      <c r="I582" s="128"/>
      <c r="J582" s="29">
        <f t="shared" si="338"/>
        <v>-1459</v>
      </c>
      <c r="K582" s="122"/>
      <c r="L582" s="123"/>
      <c r="M582" s="39">
        <f t="shared" si="339"/>
        <v>-1459</v>
      </c>
      <c r="N582" s="128"/>
      <c r="O582" s="128"/>
      <c r="P582" s="40">
        <f t="shared" si="340"/>
        <v>-1459</v>
      </c>
      <c r="Q582" s="122"/>
      <c r="R582" s="123"/>
      <c r="S582" s="39">
        <f t="shared" si="341"/>
        <v>-1459</v>
      </c>
      <c r="T582" s="141"/>
      <c r="U582" s="141"/>
      <c r="V582" s="46">
        <f t="shared" si="342"/>
        <v>-1459</v>
      </c>
      <c r="W582" s="143"/>
    </row>
    <row r="583" spans="1:23" ht="15.75" customHeight="1">
      <c r="A583" s="87"/>
      <c r="B583" s="77">
        <f ca="1">IFERROR(__xludf.DUMMYFUNCTION("DATE(VALUE(LEFT($B$2,4)),VALUE(MID($B$2,6,2)),VALUE(RIGHT($B$2,2)))
+ (VALUE(REGEXEXTRACT(INDIRECT(""A""&amp;ROW()+1),""\d+""))-1)*7
+ INT((COLUMN()-COLUMN($B583))/3)
"),47461)</f>
        <v>47461</v>
      </c>
      <c r="C583" s="81"/>
      <c r="D583" s="82"/>
      <c r="E583" s="77">
        <f ca="1">IFERROR(__xludf.DUMMYFUNCTION("DATE(VALUE(LEFT($B$2,4)),VALUE(MID($B$2,6,2)),VALUE(RIGHT($B$2,2)))
+ (VALUE(REGEXEXTRACT(INDIRECT(""A""&amp;ROW()+1),""\d+""))-1)*7
+ INT((COLUMN()-COLUMN($B583))/3)
"),47462)</f>
        <v>47462</v>
      </c>
      <c r="F583" s="81"/>
      <c r="G583" s="82"/>
      <c r="H583" s="77">
        <f ca="1">IFERROR(__xludf.DUMMYFUNCTION("DATE(VALUE(LEFT($B$2,4)),VALUE(MID($B$2,6,2)),VALUE(RIGHT($B$2,2)))
+ (VALUE(REGEXEXTRACT(INDIRECT(""A""&amp;ROW()+1),""\d+""))-1)*7
+ INT((COLUMN()-COLUMN($B583))/3)
"),47463)</f>
        <v>47463</v>
      </c>
      <c r="I583" s="81"/>
      <c r="J583" s="82"/>
      <c r="K583" s="77">
        <f ca="1">IFERROR(__xludf.DUMMYFUNCTION("DATE(VALUE(LEFT($B$2,4)),VALUE(MID($B$2,6,2)),VALUE(RIGHT($B$2,2)))
+ (VALUE(REGEXEXTRACT(INDIRECT(""A""&amp;ROW()+1),""\d+""))-1)*7
+ INT((COLUMN()-COLUMN($B583))/3)
"),47464)</f>
        <v>47464</v>
      </c>
      <c r="L583" s="81"/>
      <c r="M583" s="82"/>
      <c r="N583" s="77">
        <f ca="1">IFERROR(__xludf.DUMMYFUNCTION("DATE(VALUE(LEFT($B$2,4)),VALUE(MID($B$2,6,2)),VALUE(RIGHT($B$2,2)))
+ (VALUE(REGEXEXTRACT(INDIRECT(""A""&amp;ROW()+1),""\d+""))-1)*7
+ INT((COLUMN()-COLUMN($B583))/3)
"),47465)</f>
        <v>47465</v>
      </c>
      <c r="O583" s="81"/>
      <c r="P583" s="82"/>
      <c r="Q583" s="77">
        <f ca="1">IFERROR(__xludf.DUMMYFUNCTION("DATE(VALUE(LEFT($B$2,4)),VALUE(MID($B$2,6,2)),VALUE(RIGHT($B$2,2)))
+ (VALUE(REGEXEXTRACT(INDIRECT(""A""&amp;ROW()+1),""\d+""))-1)*7
+ INT((COLUMN()-COLUMN($B583))/3)
"),47466)</f>
        <v>47466</v>
      </c>
      <c r="R583" s="81"/>
      <c r="S583" s="82"/>
      <c r="T583" s="77">
        <f ca="1">IFERROR(__xludf.DUMMYFUNCTION("DATE(VALUE(LEFT($B$2,4)),VALUE(MID($B$2,6,2)),VALUE(RIGHT($B$2,2)))
+ (VALUE(REGEXEXTRACT(INDIRECT(""A""&amp;ROW()+1),""\d+""))-1)*7
+ INT((COLUMN()-COLUMN($B583))/3)
"),47467)</f>
        <v>47467</v>
      </c>
      <c r="U583" s="81"/>
      <c r="V583" s="82"/>
      <c r="W583" s="143"/>
    </row>
    <row r="584" spans="1:23" ht="15.75" customHeight="1">
      <c r="A584" s="51" t="s">
        <v>178</v>
      </c>
      <c r="B584" s="112"/>
      <c r="C584" s="111"/>
      <c r="D584" s="17">
        <f>V582+C584</f>
        <v>-1459</v>
      </c>
      <c r="E584" s="109"/>
      <c r="F584" s="109"/>
      <c r="G584" s="54">
        <f>D594+F584</f>
        <v>-1459</v>
      </c>
      <c r="H584" s="110"/>
      <c r="I584" s="111"/>
      <c r="J584" s="17">
        <f>G594+I584</f>
        <v>-1459</v>
      </c>
      <c r="K584" s="109"/>
      <c r="L584" s="109"/>
      <c r="M584" s="35">
        <f>J594+L584</f>
        <v>-1459</v>
      </c>
      <c r="N584" s="112"/>
      <c r="O584" s="111"/>
      <c r="P584" s="17">
        <f>M594+O584</f>
        <v>-1459</v>
      </c>
      <c r="Q584" s="109"/>
      <c r="R584" s="109"/>
      <c r="S584" s="35">
        <f>P594+R584</f>
        <v>-1459</v>
      </c>
      <c r="T584" s="112"/>
      <c r="U584" s="111"/>
      <c r="V584" s="48">
        <f>S594+U584</f>
        <v>-1459</v>
      </c>
      <c r="W584" s="143"/>
    </row>
    <row r="585" spans="1:23" ht="15.75" customHeight="1">
      <c r="A585" s="114"/>
      <c r="B585" s="106"/>
      <c r="C585" s="107"/>
      <c r="D585" s="26">
        <f t="shared" ref="D585:D594" si="343">D584+C585</f>
        <v>-1459</v>
      </c>
      <c r="E585" s="117"/>
      <c r="F585" s="117"/>
      <c r="G585" s="19">
        <f t="shared" ref="G585:G594" si="344">G584+F585</f>
        <v>-1459</v>
      </c>
      <c r="H585" s="116"/>
      <c r="I585" s="107"/>
      <c r="J585" s="26">
        <f t="shared" ref="J585:J594" si="345">J584+I585</f>
        <v>-1459</v>
      </c>
      <c r="K585" s="117"/>
      <c r="L585" s="117"/>
      <c r="M585" s="38">
        <f t="shared" ref="M585:M594" si="346">M584+L585</f>
        <v>-1459</v>
      </c>
      <c r="N585" s="106"/>
      <c r="O585" s="107"/>
      <c r="P585" s="26">
        <f t="shared" ref="P585:P594" si="347">P584+O585</f>
        <v>-1459</v>
      </c>
      <c r="Q585" s="117"/>
      <c r="R585" s="117"/>
      <c r="S585" s="38">
        <f t="shared" ref="S585:S594" si="348">S584+R585</f>
        <v>-1459</v>
      </c>
      <c r="T585" s="106"/>
      <c r="U585" s="116"/>
      <c r="V585" s="20">
        <f t="shared" ref="V585:V594" si="349">V584+U585</f>
        <v>-1459</v>
      </c>
      <c r="W585" s="143"/>
    </row>
    <row r="586" spans="1:23" ht="15.75" customHeight="1">
      <c r="A586" s="114"/>
      <c r="B586" s="106"/>
      <c r="C586" s="107"/>
      <c r="D586" s="26">
        <f t="shared" si="343"/>
        <v>-1459</v>
      </c>
      <c r="E586" s="117"/>
      <c r="F586" s="117"/>
      <c r="G586" s="19">
        <f t="shared" si="344"/>
        <v>-1459</v>
      </c>
      <c r="H586" s="116"/>
      <c r="I586" s="107"/>
      <c r="J586" s="26">
        <f t="shared" si="345"/>
        <v>-1459</v>
      </c>
      <c r="K586" s="117"/>
      <c r="L586" s="117"/>
      <c r="M586" s="38">
        <f t="shared" si="346"/>
        <v>-1459</v>
      </c>
      <c r="N586" s="106"/>
      <c r="O586" s="107"/>
      <c r="P586" s="26">
        <f t="shared" si="347"/>
        <v>-1459</v>
      </c>
      <c r="Q586" s="117"/>
      <c r="R586" s="117"/>
      <c r="S586" s="38">
        <f t="shared" si="348"/>
        <v>-1459</v>
      </c>
      <c r="T586" s="106"/>
      <c r="U586" s="107"/>
      <c r="V586" s="20">
        <f t="shared" si="349"/>
        <v>-1459</v>
      </c>
      <c r="W586" s="143"/>
    </row>
    <row r="587" spans="1:23" ht="15.75" customHeight="1">
      <c r="A587" s="114"/>
      <c r="B587" s="106"/>
      <c r="C587" s="107"/>
      <c r="D587" s="26">
        <f t="shared" si="343"/>
        <v>-1459</v>
      </c>
      <c r="E587" s="117"/>
      <c r="F587" s="117"/>
      <c r="G587" s="19">
        <f t="shared" si="344"/>
        <v>-1459</v>
      </c>
      <c r="H587" s="116"/>
      <c r="I587" s="107"/>
      <c r="J587" s="26">
        <f t="shared" si="345"/>
        <v>-1459</v>
      </c>
      <c r="K587" s="117"/>
      <c r="L587" s="117"/>
      <c r="M587" s="38">
        <f t="shared" si="346"/>
        <v>-1459</v>
      </c>
      <c r="N587" s="106"/>
      <c r="O587" s="107"/>
      <c r="P587" s="26">
        <f t="shared" si="347"/>
        <v>-1459</v>
      </c>
      <c r="Q587" s="117"/>
      <c r="R587" s="117"/>
      <c r="S587" s="38">
        <f t="shared" si="348"/>
        <v>-1459</v>
      </c>
      <c r="T587" s="106"/>
      <c r="U587" s="107"/>
      <c r="V587" s="20">
        <f t="shared" si="349"/>
        <v>-1459</v>
      </c>
      <c r="W587" s="143"/>
    </row>
    <row r="588" spans="1:23" ht="15.75" customHeight="1">
      <c r="A588" s="114"/>
      <c r="B588" s="106"/>
      <c r="C588" s="107"/>
      <c r="D588" s="26">
        <f t="shared" si="343"/>
        <v>-1459</v>
      </c>
      <c r="E588" s="117"/>
      <c r="F588" s="117"/>
      <c r="G588" s="19">
        <f t="shared" si="344"/>
        <v>-1459</v>
      </c>
      <c r="H588" s="116"/>
      <c r="I588" s="107"/>
      <c r="J588" s="26">
        <f t="shared" si="345"/>
        <v>-1459</v>
      </c>
      <c r="K588" s="117"/>
      <c r="L588" s="117"/>
      <c r="M588" s="38">
        <f t="shared" si="346"/>
        <v>-1459</v>
      </c>
      <c r="N588" s="106"/>
      <c r="O588" s="107"/>
      <c r="P588" s="26">
        <f t="shared" si="347"/>
        <v>-1459</v>
      </c>
      <c r="Q588" s="117"/>
      <c r="R588" s="117"/>
      <c r="S588" s="38">
        <f t="shared" si="348"/>
        <v>-1459</v>
      </c>
      <c r="T588" s="106"/>
      <c r="U588" s="116"/>
      <c r="V588" s="20">
        <f t="shared" si="349"/>
        <v>-1459</v>
      </c>
      <c r="W588" s="143"/>
    </row>
    <row r="589" spans="1:23" ht="15.75" customHeight="1">
      <c r="A589" s="114"/>
      <c r="B589" s="106"/>
      <c r="C589" s="107"/>
      <c r="D589" s="26">
        <f t="shared" si="343"/>
        <v>-1459</v>
      </c>
      <c r="E589" s="117"/>
      <c r="F589" s="117"/>
      <c r="G589" s="19">
        <f t="shared" si="344"/>
        <v>-1459</v>
      </c>
      <c r="H589" s="116"/>
      <c r="I589" s="107"/>
      <c r="J589" s="26">
        <f t="shared" si="345"/>
        <v>-1459</v>
      </c>
      <c r="K589" s="117"/>
      <c r="L589" s="117"/>
      <c r="M589" s="38">
        <f t="shared" si="346"/>
        <v>-1459</v>
      </c>
      <c r="N589" s="106"/>
      <c r="O589" s="107"/>
      <c r="P589" s="26">
        <f t="shared" si="347"/>
        <v>-1459</v>
      </c>
      <c r="Q589" s="117"/>
      <c r="R589" s="117"/>
      <c r="S589" s="38">
        <f t="shared" si="348"/>
        <v>-1459</v>
      </c>
      <c r="T589" s="106"/>
      <c r="U589" s="116"/>
      <c r="V589" s="20">
        <f t="shared" si="349"/>
        <v>-1459</v>
      </c>
      <c r="W589" s="143"/>
    </row>
    <row r="590" spans="1:23" ht="15.75" customHeight="1">
      <c r="A590" s="114"/>
      <c r="B590" s="106"/>
      <c r="C590" s="107"/>
      <c r="D590" s="26">
        <f t="shared" si="343"/>
        <v>-1459</v>
      </c>
      <c r="E590" s="117"/>
      <c r="F590" s="117"/>
      <c r="G590" s="19">
        <f t="shared" si="344"/>
        <v>-1459</v>
      </c>
      <c r="H590" s="116"/>
      <c r="I590" s="107"/>
      <c r="J590" s="26">
        <f t="shared" si="345"/>
        <v>-1459</v>
      </c>
      <c r="K590" s="117"/>
      <c r="L590" s="117"/>
      <c r="M590" s="38">
        <f t="shared" si="346"/>
        <v>-1459</v>
      </c>
      <c r="N590" s="106"/>
      <c r="O590" s="107"/>
      <c r="P590" s="26">
        <f t="shared" si="347"/>
        <v>-1459</v>
      </c>
      <c r="Q590" s="117"/>
      <c r="R590" s="117"/>
      <c r="S590" s="38">
        <f t="shared" si="348"/>
        <v>-1459</v>
      </c>
      <c r="T590" s="106"/>
      <c r="U590" s="116"/>
      <c r="V590" s="20">
        <f t="shared" si="349"/>
        <v>-1459</v>
      </c>
      <c r="W590" s="143"/>
    </row>
    <row r="591" spans="1:23" ht="15.75" customHeight="1">
      <c r="A591" s="114"/>
      <c r="B591" s="106"/>
      <c r="C591" s="107"/>
      <c r="D591" s="26">
        <f t="shared" si="343"/>
        <v>-1459</v>
      </c>
      <c r="E591" s="117"/>
      <c r="F591" s="117"/>
      <c r="G591" s="19">
        <f t="shared" si="344"/>
        <v>-1459</v>
      </c>
      <c r="H591" s="116"/>
      <c r="I591" s="107"/>
      <c r="J591" s="26">
        <f t="shared" si="345"/>
        <v>-1459</v>
      </c>
      <c r="K591" s="117"/>
      <c r="L591" s="117"/>
      <c r="M591" s="38">
        <f t="shared" si="346"/>
        <v>-1459</v>
      </c>
      <c r="N591" s="106"/>
      <c r="O591" s="107"/>
      <c r="P591" s="26">
        <f t="shared" si="347"/>
        <v>-1459</v>
      </c>
      <c r="Q591" s="117"/>
      <c r="R591" s="117"/>
      <c r="S591" s="38">
        <f t="shared" si="348"/>
        <v>-1459</v>
      </c>
      <c r="T591" s="106"/>
      <c r="U591" s="116"/>
      <c r="V591" s="20">
        <f t="shared" si="349"/>
        <v>-1459</v>
      </c>
      <c r="W591" s="143"/>
    </row>
    <row r="592" spans="1:23" ht="15.75" customHeight="1">
      <c r="A592" s="114"/>
      <c r="B592" s="122"/>
      <c r="C592" s="123"/>
      <c r="D592" s="26">
        <f t="shared" si="343"/>
        <v>-1459</v>
      </c>
      <c r="E592" s="117"/>
      <c r="F592" s="117"/>
      <c r="G592" s="19">
        <f t="shared" si="344"/>
        <v>-1459</v>
      </c>
      <c r="H592" s="124"/>
      <c r="I592" s="123"/>
      <c r="J592" s="26">
        <f t="shared" si="345"/>
        <v>-1459</v>
      </c>
      <c r="K592" s="117"/>
      <c r="L592" s="117"/>
      <c r="M592" s="38">
        <f t="shared" si="346"/>
        <v>-1459</v>
      </c>
      <c r="N592" s="122"/>
      <c r="O592" s="123"/>
      <c r="P592" s="26">
        <f t="shared" si="347"/>
        <v>-1459</v>
      </c>
      <c r="Q592" s="117"/>
      <c r="R592" s="117"/>
      <c r="S592" s="38">
        <f t="shared" si="348"/>
        <v>-1459</v>
      </c>
      <c r="T592" s="106"/>
      <c r="U592" s="116"/>
      <c r="V592" s="20">
        <f t="shared" si="349"/>
        <v>-1459</v>
      </c>
      <c r="W592" s="143"/>
    </row>
    <row r="593" spans="1:23" ht="15.75" customHeight="1">
      <c r="A593" s="114"/>
      <c r="B593" s="122"/>
      <c r="C593" s="123"/>
      <c r="D593" s="26">
        <f t="shared" si="343"/>
        <v>-1459</v>
      </c>
      <c r="E593" s="117"/>
      <c r="F593" s="117"/>
      <c r="G593" s="19">
        <f t="shared" si="344"/>
        <v>-1459</v>
      </c>
      <c r="H593" s="124"/>
      <c r="I593" s="123"/>
      <c r="J593" s="26">
        <f t="shared" si="345"/>
        <v>-1459</v>
      </c>
      <c r="K593" s="117"/>
      <c r="L593" s="117"/>
      <c r="M593" s="38">
        <f t="shared" si="346"/>
        <v>-1459</v>
      </c>
      <c r="N593" s="122"/>
      <c r="O593" s="123"/>
      <c r="P593" s="26">
        <f t="shared" si="347"/>
        <v>-1459</v>
      </c>
      <c r="Q593" s="117"/>
      <c r="R593" s="117"/>
      <c r="S593" s="38">
        <f t="shared" si="348"/>
        <v>-1459</v>
      </c>
      <c r="T593" s="122"/>
      <c r="U593" s="124"/>
      <c r="V593" s="20">
        <f t="shared" si="349"/>
        <v>-1459</v>
      </c>
      <c r="W593" s="143"/>
    </row>
    <row r="594" spans="1:23" ht="15.75" customHeight="1">
      <c r="A594" s="114"/>
      <c r="B594" s="122"/>
      <c r="C594" s="123"/>
      <c r="D594" s="39">
        <f t="shared" si="343"/>
        <v>-1459</v>
      </c>
      <c r="E594" s="128"/>
      <c r="F594" s="128"/>
      <c r="G594" s="55">
        <f t="shared" si="344"/>
        <v>-1459</v>
      </c>
      <c r="H594" s="124"/>
      <c r="I594" s="123"/>
      <c r="J594" s="39">
        <f t="shared" si="345"/>
        <v>-1459</v>
      </c>
      <c r="K594" s="128"/>
      <c r="L594" s="128"/>
      <c r="M594" s="40">
        <f t="shared" si="346"/>
        <v>-1459</v>
      </c>
      <c r="N594" s="122"/>
      <c r="O594" s="123"/>
      <c r="P594" s="39">
        <f t="shared" si="347"/>
        <v>-1459</v>
      </c>
      <c r="Q594" s="128"/>
      <c r="R594" s="128"/>
      <c r="S594" s="40">
        <f t="shared" si="348"/>
        <v>-1459</v>
      </c>
      <c r="T594" s="122"/>
      <c r="U594" s="123"/>
      <c r="V594" s="49">
        <f t="shared" si="349"/>
        <v>-1459</v>
      </c>
      <c r="W594" s="143"/>
    </row>
    <row r="595" spans="1:23" ht="15.75" customHeight="1">
      <c r="A595" s="87"/>
      <c r="B595" s="77">
        <f ca="1">IFERROR(__xludf.DUMMYFUNCTION("DATE(VALUE(LEFT($B$2,4)),VALUE(MID($B$2,6,2)),VALUE(RIGHT($B$2,2)))
+ (VALUE(REGEXEXTRACT(INDIRECT(""A""&amp;ROW()+1),""\d+""))-1)*7
+ INT((COLUMN()-COLUMN($B595))/3)
"),47468)</f>
        <v>47468</v>
      </c>
      <c r="C595" s="81"/>
      <c r="D595" s="82"/>
      <c r="E595" s="77">
        <f ca="1">IFERROR(__xludf.DUMMYFUNCTION("DATE(VALUE(LEFT($B$2,4)),VALUE(MID($B$2,6,2)),VALUE(RIGHT($B$2,2)))
+ (VALUE(REGEXEXTRACT(INDIRECT(""A""&amp;ROW()+1),""\d+""))-1)*7
+ INT((COLUMN()-COLUMN($B595))/3)
"),47469)</f>
        <v>47469</v>
      </c>
      <c r="F595" s="81"/>
      <c r="G595" s="82"/>
      <c r="H595" s="77">
        <f ca="1">IFERROR(__xludf.DUMMYFUNCTION("DATE(VALUE(LEFT($B$2,4)),VALUE(MID($B$2,6,2)),VALUE(RIGHT($B$2,2)))
+ (VALUE(REGEXEXTRACT(INDIRECT(""A""&amp;ROW()+1),""\d+""))-1)*7
+ INT((COLUMN()-COLUMN($B595))/3)
"),47470)</f>
        <v>47470</v>
      </c>
      <c r="I595" s="81"/>
      <c r="J595" s="82"/>
      <c r="K595" s="77">
        <f ca="1">IFERROR(__xludf.DUMMYFUNCTION("DATE(VALUE(LEFT($B$2,4)),VALUE(MID($B$2,6,2)),VALUE(RIGHT($B$2,2)))
+ (VALUE(REGEXEXTRACT(INDIRECT(""A""&amp;ROW()+1),""\d+""))-1)*7
+ INT((COLUMN()-COLUMN($B595))/3)
"),47471)</f>
        <v>47471</v>
      </c>
      <c r="L595" s="81"/>
      <c r="M595" s="82"/>
      <c r="N595" s="77">
        <f ca="1">IFERROR(__xludf.DUMMYFUNCTION("DATE(VALUE(LEFT($B$2,4)),VALUE(MID($B$2,6,2)),VALUE(RIGHT($B$2,2)))
+ (VALUE(REGEXEXTRACT(INDIRECT(""A""&amp;ROW()+1),""\d+""))-1)*7
+ INT((COLUMN()-COLUMN($B595))/3)
"),47472)</f>
        <v>47472</v>
      </c>
      <c r="O595" s="81"/>
      <c r="P595" s="82"/>
      <c r="Q595" s="77">
        <f ca="1">IFERROR(__xludf.DUMMYFUNCTION("DATE(VALUE(LEFT($B$2,4)),VALUE(MID($B$2,6,2)),VALUE(RIGHT($B$2,2)))
+ (VALUE(REGEXEXTRACT(INDIRECT(""A""&amp;ROW()+1),""\d+""))-1)*7
+ INT((COLUMN()-COLUMN($B595))/3)
"),47473)</f>
        <v>47473</v>
      </c>
      <c r="R595" s="81"/>
      <c r="S595" s="82"/>
      <c r="T595" s="77">
        <f ca="1">IFERROR(__xludf.DUMMYFUNCTION("DATE(VALUE(LEFT($B$2,4)),VALUE(MID($B$2,6,2)),VALUE(RIGHT($B$2,2)))
+ (VALUE(REGEXEXTRACT(INDIRECT(""A""&amp;ROW()+1),""\d+""))-1)*7
+ INT((COLUMN()-COLUMN($B595))/3)
"),47474)</f>
        <v>47474</v>
      </c>
      <c r="U595" s="81"/>
      <c r="V595" s="82"/>
      <c r="W595" s="52" t="s">
        <v>20</v>
      </c>
    </row>
    <row r="596" spans="1:23" ht="15.75" customHeight="1">
      <c r="A596" s="47" t="s">
        <v>179</v>
      </c>
      <c r="B596" s="109"/>
      <c r="C596" s="109"/>
      <c r="D596" s="42">
        <f>V594+C596</f>
        <v>-1459</v>
      </c>
      <c r="E596" s="112"/>
      <c r="F596" s="111"/>
      <c r="G596" s="36">
        <f>D606+F596</f>
        <v>-1459</v>
      </c>
      <c r="H596" s="132"/>
      <c r="I596" s="109"/>
      <c r="J596" s="42">
        <f>G606+I596</f>
        <v>-1459</v>
      </c>
      <c r="K596" s="112"/>
      <c r="L596" s="111"/>
      <c r="M596" s="18">
        <f>J606+L596</f>
        <v>-1459</v>
      </c>
      <c r="N596" s="113"/>
      <c r="O596" s="109"/>
      <c r="P596" s="35">
        <f>M606+O596</f>
        <v>-1459</v>
      </c>
      <c r="Q596" s="112"/>
      <c r="R596" s="111"/>
      <c r="S596" s="36">
        <f>P606+R596</f>
        <v>-1459</v>
      </c>
      <c r="T596" s="176"/>
      <c r="U596" s="173"/>
      <c r="V596" s="50">
        <f>S606+U596</f>
        <v>-1459</v>
      </c>
      <c r="W596" s="172"/>
    </row>
    <row r="597" spans="1:23" ht="15.75" customHeight="1">
      <c r="A597" s="114"/>
      <c r="B597" s="117"/>
      <c r="C597" s="117"/>
      <c r="D597" s="19">
        <f t="shared" ref="D597:D606" si="350">D596+C597</f>
        <v>-1459</v>
      </c>
      <c r="E597" s="106"/>
      <c r="F597" s="107"/>
      <c r="G597" s="26">
        <f t="shared" ref="G597:G606" si="351">G596+F597</f>
        <v>-1459</v>
      </c>
      <c r="H597" s="133"/>
      <c r="I597" s="117"/>
      <c r="J597" s="19">
        <f t="shared" ref="J597:J606" si="352">J596+I597</f>
        <v>-1459</v>
      </c>
      <c r="K597" s="106"/>
      <c r="L597" s="107"/>
      <c r="M597" s="26">
        <f t="shared" ref="M597:M606" si="353">M596+L597</f>
        <v>-1459</v>
      </c>
      <c r="N597" s="118"/>
      <c r="O597" s="117"/>
      <c r="P597" s="38">
        <f t="shared" ref="P597:P606" si="354">P596+O597</f>
        <v>-1459</v>
      </c>
      <c r="Q597" s="106"/>
      <c r="R597" s="107"/>
      <c r="S597" s="26">
        <f t="shared" ref="S597:S606" si="355">S596+R597</f>
        <v>-1459</v>
      </c>
      <c r="T597" s="177"/>
      <c r="U597" s="136"/>
      <c r="V597" s="45">
        <f t="shared" ref="V597:V606" si="356">V596+U597</f>
        <v>-1459</v>
      </c>
      <c r="W597" s="143"/>
    </row>
    <row r="598" spans="1:23" ht="15.75" customHeight="1">
      <c r="A598" s="114"/>
      <c r="B598" s="118"/>
      <c r="C598" s="117"/>
      <c r="D598" s="19">
        <f t="shared" si="350"/>
        <v>-1459</v>
      </c>
      <c r="E598" s="106"/>
      <c r="F598" s="107"/>
      <c r="G598" s="26">
        <f t="shared" si="351"/>
        <v>-1459</v>
      </c>
      <c r="H598" s="133"/>
      <c r="I598" s="117"/>
      <c r="J598" s="19">
        <f t="shared" si="352"/>
        <v>-1459</v>
      </c>
      <c r="K598" s="106"/>
      <c r="L598" s="107"/>
      <c r="M598" s="26">
        <f t="shared" si="353"/>
        <v>-1459</v>
      </c>
      <c r="N598" s="117"/>
      <c r="O598" s="117"/>
      <c r="P598" s="38">
        <f t="shared" si="354"/>
        <v>-1459</v>
      </c>
      <c r="Q598" s="106"/>
      <c r="R598" s="107"/>
      <c r="S598" s="26">
        <f t="shared" si="355"/>
        <v>-1459</v>
      </c>
      <c r="T598" s="136"/>
      <c r="U598" s="136"/>
      <c r="V598" s="45">
        <f t="shared" si="356"/>
        <v>-1459</v>
      </c>
      <c r="W598" s="143"/>
    </row>
    <row r="599" spans="1:23" ht="15.75" customHeight="1">
      <c r="A599" s="114"/>
      <c r="B599" s="118"/>
      <c r="C599" s="117"/>
      <c r="D599" s="19">
        <f t="shared" si="350"/>
        <v>-1459</v>
      </c>
      <c r="E599" s="106"/>
      <c r="F599" s="107"/>
      <c r="G599" s="26">
        <f t="shared" si="351"/>
        <v>-1459</v>
      </c>
      <c r="H599" s="133"/>
      <c r="I599" s="117"/>
      <c r="J599" s="19">
        <f t="shared" si="352"/>
        <v>-1459</v>
      </c>
      <c r="K599" s="106"/>
      <c r="L599" s="107"/>
      <c r="M599" s="26">
        <f t="shared" si="353"/>
        <v>-1459</v>
      </c>
      <c r="N599" s="117"/>
      <c r="O599" s="117"/>
      <c r="P599" s="38">
        <f t="shared" si="354"/>
        <v>-1459</v>
      </c>
      <c r="Q599" s="106"/>
      <c r="R599" s="107"/>
      <c r="S599" s="26">
        <f t="shared" si="355"/>
        <v>-1459</v>
      </c>
      <c r="T599" s="136"/>
      <c r="U599" s="136"/>
      <c r="V599" s="45">
        <f t="shared" si="356"/>
        <v>-1459</v>
      </c>
      <c r="W599" s="143"/>
    </row>
    <row r="600" spans="1:23" ht="15.75" customHeight="1">
      <c r="A600" s="114"/>
      <c r="B600" s="118"/>
      <c r="C600" s="117"/>
      <c r="D600" s="19">
        <f t="shared" si="350"/>
        <v>-1459</v>
      </c>
      <c r="E600" s="106"/>
      <c r="F600" s="107"/>
      <c r="G600" s="26">
        <f t="shared" si="351"/>
        <v>-1459</v>
      </c>
      <c r="H600" s="133"/>
      <c r="I600" s="117"/>
      <c r="J600" s="19">
        <f t="shared" si="352"/>
        <v>-1459</v>
      </c>
      <c r="K600" s="106"/>
      <c r="L600" s="107"/>
      <c r="M600" s="26">
        <f t="shared" si="353"/>
        <v>-1459</v>
      </c>
      <c r="N600" s="117"/>
      <c r="O600" s="117"/>
      <c r="P600" s="38">
        <f t="shared" si="354"/>
        <v>-1459</v>
      </c>
      <c r="Q600" s="106"/>
      <c r="R600" s="107"/>
      <c r="S600" s="26">
        <f t="shared" si="355"/>
        <v>-1459</v>
      </c>
      <c r="T600" s="136"/>
      <c r="U600" s="136"/>
      <c r="V600" s="45">
        <f t="shared" si="356"/>
        <v>-1459</v>
      </c>
      <c r="W600" s="143"/>
    </row>
    <row r="601" spans="1:23" ht="15.75" customHeight="1">
      <c r="A601" s="114"/>
      <c r="B601" s="118"/>
      <c r="C601" s="117"/>
      <c r="D601" s="19">
        <f t="shared" si="350"/>
        <v>-1459</v>
      </c>
      <c r="E601" s="106"/>
      <c r="F601" s="107"/>
      <c r="G601" s="26">
        <f t="shared" si="351"/>
        <v>-1459</v>
      </c>
      <c r="H601" s="133"/>
      <c r="I601" s="117"/>
      <c r="J601" s="19">
        <f t="shared" si="352"/>
        <v>-1459</v>
      </c>
      <c r="K601" s="106"/>
      <c r="L601" s="107"/>
      <c r="M601" s="26">
        <f t="shared" si="353"/>
        <v>-1459</v>
      </c>
      <c r="N601" s="117"/>
      <c r="O601" s="117"/>
      <c r="P601" s="38">
        <f t="shared" si="354"/>
        <v>-1459</v>
      </c>
      <c r="Q601" s="106"/>
      <c r="R601" s="107"/>
      <c r="S601" s="26">
        <f t="shared" si="355"/>
        <v>-1459</v>
      </c>
      <c r="T601" s="136"/>
      <c r="U601" s="136"/>
      <c r="V601" s="45">
        <f t="shared" si="356"/>
        <v>-1459</v>
      </c>
      <c r="W601" s="143"/>
    </row>
    <row r="602" spans="1:23" ht="15.75" customHeight="1">
      <c r="A602" s="114"/>
      <c r="B602" s="118"/>
      <c r="C602" s="117"/>
      <c r="D602" s="19">
        <f t="shared" si="350"/>
        <v>-1459</v>
      </c>
      <c r="E602" s="106"/>
      <c r="F602" s="107"/>
      <c r="G602" s="26">
        <f t="shared" si="351"/>
        <v>-1459</v>
      </c>
      <c r="H602" s="133"/>
      <c r="I602" s="117"/>
      <c r="J602" s="19">
        <f t="shared" si="352"/>
        <v>-1459</v>
      </c>
      <c r="K602" s="106"/>
      <c r="L602" s="107"/>
      <c r="M602" s="26">
        <f t="shared" si="353"/>
        <v>-1459</v>
      </c>
      <c r="N602" s="117"/>
      <c r="O602" s="117"/>
      <c r="P602" s="38">
        <f t="shared" si="354"/>
        <v>-1459</v>
      </c>
      <c r="Q602" s="106"/>
      <c r="R602" s="107"/>
      <c r="S602" s="26">
        <f t="shared" si="355"/>
        <v>-1459</v>
      </c>
      <c r="T602" s="136"/>
      <c r="U602" s="136"/>
      <c r="V602" s="45">
        <f t="shared" si="356"/>
        <v>-1459</v>
      </c>
      <c r="W602" s="143"/>
    </row>
    <row r="603" spans="1:23" ht="15.75" customHeight="1">
      <c r="A603" s="114"/>
      <c r="B603" s="118"/>
      <c r="C603" s="117"/>
      <c r="D603" s="19">
        <f t="shared" si="350"/>
        <v>-1459</v>
      </c>
      <c r="E603" s="106"/>
      <c r="F603" s="107"/>
      <c r="G603" s="26">
        <f t="shared" si="351"/>
        <v>-1459</v>
      </c>
      <c r="H603" s="133"/>
      <c r="I603" s="117"/>
      <c r="J603" s="19">
        <f t="shared" si="352"/>
        <v>-1459</v>
      </c>
      <c r="K603" s="106"/>
      <c r="L603" s="107"/>
      <c r="M603" s="26">
        <f t="shared" si="353"/>
        <v>-1459</v>
      </c>
      <c r="N603" s="117"/>
      <c r="O603" s="117"/>
      <c r="P603" s="38">
        <f t="shared" si="354"/>
        <v>-1459</v>
      </c>
      <c r="Q603" s="106"/>
      <c r="R603" s="107"/>
      <c r="S603" s="26">
        <f t="shared" si="355"/>
        <v>-1459</v>
      </c>
      <c r="T603" s="136"/>
      <c r="U603" s="136"/>
      <c r="V603" s="45">
        <f t="shared" si="356"/>
        <v>-1459</v>
      </c>
      <c r="W603" s="143"/>
    </row>
    <row r="604" spans="1:23" ht="15.75" customHeight="1">
      <c r="A604" s="114"/>
      <c r="B604" s="117"/>
      <c r="C604" s="117"/>
      <c r="D604" s="19">
        <f t="shared" si="350"/>
        <v>-1459</v>
      </c>
      <c r="E604" s="106"/>
      <c r="F604" s="107"/>
      <c r="G604" s="26">
        <f t="shared" si="351"/>
        <v>-1459</v>
      </c>
      <c r="H604" s="133"/>
      <c r="I604" s="117"/>
      <c r="J604" s="19">
        <f t="shared" si="352"/>
        <v>-1459</v>
      </c>
      <c r="K604" s="106"/>
      <c r="L604" s="107"/>
      <c r="M604" s="26">
        <f t="shared" si="353"/>
        <v>-1459</v>
      </c>
      <c r="N604" s="117"/>
      <c r="O604" s="117"/>
      <c r="P604" s="38">
        <f t="shared" si="354"/>
        <v>-1459</v>
      </c>
      <c r="Q604" s="106"/>
      <c r="R604" s="107"/>
      <c r="S604" s="26">
        <f t="shared" si="355"/>
        <v>-1459</v>
      </c>
      <c r="T604" s="136"/>
      <c r="U604" s="136"/>
      <c r="V604" s="45">
        <f t="shared" si="356"/>
        <v>-1459</v>
      </c>
      <c r="W604" s="143"/>
    </row>
    <row r="605" spans="1:23" ht="15.75" customHeight="1">
      <c r="A605" s="114"/>
      <c r="B605" s="117"/>
      <c r="C605" s="117"/>
      <c r="D605" s="19">
        <f t="shared" si="350"/>
        <v>-1459</v>
      </c>
      <c r="E605" s="122"/>
      <c r="F605" s="123"/>
      <c r="G605" s="26">
        <f t="shared" si="351"/>
        <v>-1459</v>
      </c>
      <c r="H605" s="133"/>
      <c r="I605" s="117"/>
      <c r="J605" s="19">
        <f t="shared" si="352"/>
        <v>-1459</v>
      </c>
      <c r="K605" s="122"/>
      <c r="L605" s="123"/>
      <c r="M605" s="26">
        <f t="shared" si="353"/>
        <v>-1459</v>
      </c>
      <c r="N605" s="117"/>
      <c r="O605" s="117"/>
      <c r="P605" s="38">
        <f t="shared" si="354"/>
        <v>-1459</v>
      </c>
      <c r="Q605" s="122"/>
      <c r="R605" s="123"/>
      <c r="S605" s="26">
        <f t="shared" si="355"/>
        <v>-1459</v>
      </c>
      <c r="T605" s="136"/>
      <c r="U605" s="136"/>
      <c r="V605" s="45">
        <f t="shared" si="356"/>
        <v>-1459</v>
      </c>
      <c r="W605" s="143"/>
    </row>
    <row r="606" spans="1:23" ht="15.75" customHeight="1">
      <c r="A606" s="114"/>
      <c r="B606" s="128"/>
      <c r="C606" s="128"/>
      <c r="D606" s="29">
        <f t="shared" si="350"/>
        <v>-1459</v>
      </c>
      <c r="E606" s="122"/>
      <c r="F606" s="123"/>
      <c r="G606" s="53">
        <f t="shared" si="351"/>
        <v>-1459</v>
      </c>
      <c r="H606" s="140"/>
      <c r="I606" s="128"/>
      <c r="J606" s="29">
        <f t="shared" si="352"/>
        <v>-1459</v>
      </c>
      <c r="K606" s="122"/>
      <c r="L606" s="123"/>
      <c r="M606" s="39">
        <f t="shared" si="353"/>
        <v>-1459</v>
      </c>
      <c r="N606" s="128"/>
      <c r="O606" s="128"/>
      <c r="P606" s="40">
        <f t="shared" si="354"/>
        <v>-1459</v>
      </c>
      <c r="Q606" s="122"/>
      <c r="R606" s="123"/>
      <c r="S606" s="39">
        <f t="shared" si="355"/>
        <v>-1459</v>
      </c>
      <c r="T606" s="141"/>
      <c r="U606" s="141"/>
      <c r="V606" s="46">
        <f t="shared" si="356"/>
        <v>-1459</v>
      </c>
      <c r="W606" s="143"/>
    </row>
    <row r="607" spans="1:23" ht="15.75" customHeight="1">
      <c r="A607" s="87"/>
      <c r="B607" s="77">
        <f ca="1">IFERROR(__xludf.DUMMYFUNCTION("DATE(VALUE(LEFT($B$2,4)),VALUE(MID($B$2,6,2)),VALUE(RIGHT($B$2,2)))
+ (VALUE(REGEXEXTRACT(INDIRECT(""A""&amp;ROW()+1),""\d+""))-1)*7
+ INT((COLUMN()-COLUMN($B607))/3)
"),47475)</f>
        <v>47475</v>
      </c>
      <c r="C607" s="81"/>
      <c r="D607" s="82"/>
      <c r="E607" s="77">
        <f ca="1">IFERROR(__xludf.DUMMYFUNCTION("DATE(VALUE(LEFT($B$2,4)),VALUE(MID($B$2,6,2)),VALUE(RIGHT($B$2,2)))
+ (VALUE(REGEXEXTRACT(INDIRECT(""A""&amp;ROW()+1),""\d+""))-1)*7
+ INT((COLUMN()-COLUMN($B607))/3)
"),47476)</f>
        <v>47476</v>
      </c>
      <c r="F607" s="81"/>
      <c r="G607" s="82"/>
      <c r="H607" s="77">
        <f ca="1">IFERROR(__xludf.DUMMYFUNCTION("DATE(VALUE(LEFT($B$2,4)),VALUE(MID($B$2,6,2)),VALUE(RIGHT($B$2,2)))
+ (VALUE(REGEXEXTRACT(INDIRECT(""A""&amp;ROW()+1),""\d+""))-1)*7
+ INT((COLUMN()-COLUMN($B607))/3)
"),47477)</f>
        <v>47477</v>
      </c>
      <c r="I607" s="81"/>
      <c r="J607" s="82"/>
      <c r="K607" s="77">
        <f ca="1">IFERROR(__xludf.DUMMYFUNCTION("DATE(VALUE(LEFT($B$2,4)),VALUE(MID($B$2,6,2)),VALUE(RIGHT($B$2,2)))
+ (VALUE(REGEXEXTRACT(INDIRECT(""A""&amp;ROW()+1),""\d+""))-1)*7
+ INT((COLUMN()-COLUMN($B607))/3)
"),47478)</f>
        <v>47478</v>
      </c>
      <c r="L607" s="81"/>
      <c r="M607" s="82"/>
      <c r="N607" s="77">
        <f ca="1">IFERROR(__xludf.DUMMYFUNCTION("DATE(VALUE(LEFT($B$2,4)),VALUE(MID($B$2,6,2)),VALUE(RIGHT($B$2,2)))
+ (VALUE(REGEXEXTRACT(INDIRECT(""A""&amp;ROW()+1),""\d+""))-1)*7
+ INT((COLUMN()-COLUMN($B607))/3)
"),47479)</f>
        <v>47479</v>
      </c>
      <c r="O607" s="81"/>
      <c r="P607" s="82"/>
      <c r="Q607" s="77">
        <f ca="1">IFERROR(__xludf.DUMMYFUNCTION("DATE(VALUE(LEFT($B$2,4)),VALUE(MID($B$2,6,2)),VALUE(RIGHT($B$2,2)))
+ (VALUE(REGEXEXTRACT(INDIRECT(""A""&amp;ROW()+1),""\d+""))-1)*7
+ INT((COLUMN()-COLUMN($B607))/3)
"),47480)</f>
        <v>47480</v>
      </c>
      <c r="R607" s="81"/>
      <c r="S607" s="82"/>
      <c r="T607" s="77">
        <f ca="1">IFERROR(__xludf.DUMMYFUNCTION("DATE(VALUE(LEFT($B$2,4)),VALUE(MID($B$2,6,2)),VALUE(RIGHT($B$2,2)))
+ (VALUE(REGEXEXTRACT(INDIRECT(""A""&amp;ROW()+1),""\d+""))-1)*7
+ INT((COLUMN()-COLUMN($B607))/3)
"),47481)</f>
        <v>47481</v>
      </c>
      <c r="U607" s="81"/>
      <c r="V607" s="82"/>
      <c r="W607" s="143"/>
    </row>
    <row r="608" spans="1:23" ht="15.75" customHeight="1">
      <c r="A608" s="51" t="s">
        <v>180</v>
      </c>
      <c r="B608" s="112"/>
      <c r="C608" s="111"/>
      <c r="D608" s="17">
        <f>V606+C608</f>
        <v>-1459</v>
      </c>
      <c r="E608" s="109"/>
      <c r="F608" s="109"/>
      <c r="G608" s="54">
        <f>D618+F608</f>
        <v>-1459</v>
      </c>
      <c r="H608" s="110"/>
      <c r="I608" s="111"/>
      <c r="J608" s="17">
        <f>G618+I608</f>
        <v>-1459</v>
      </c>
      <c r="K608" s="109"/>
      <c r="L608" s="109"/>
      <c r="M608" s="35">
        <f>J618+L608</f>
        <v>-1459</v>
      </c>
      <c r="N608" s="112"/>
      <c r="O608" s="111"/>
      <c r="P608" s="17">
        <f>M618+O608</f>
        <v>-1459</v>
      </c>
      <c r="Q608" s="109"/>
      <c r="R608" s="109"/>
      <c r="S608" s="35">
        <f>P618+R608</f>
        <v>-1459</v>
      </c>
      <c r="T608" s="112"/>
      <c r="U608" s="111"/>
      <c r="V608" s="48">
        <f>S618+U608</f>
        <v>-1459</v>
      </c>
      <c r="W608" s="143"/>
    </row>
    <row r="609" spans="1:23" ht="15.75" customHeight="1">
      <c r="A609" s="114"/>
      <c r="B609" s="106"/>
      <c r="C609" s="107"/>
      <c r="D609" s="26">
        <f t="shared" ref="D609:D618" si="357">D608+C609</f>
        <v>-1459</v>
      </c>
      <c r="E609" s="117"/>
      <c r="F609" s="117"/>
      <c r="G609" s="19">
        <f t="shared" ref="G609:G618" si="358">G608+F609</f>
        <v>-1459</v>
      </c>
      <c r="H609" s="116"/>
      <c r="I609" s="107"/>
      <c r="J609" s="26">
        <f t="shared" ref="J609:J618" si="359">J608+I609</f>
        <v>-1459</v>
      </c>
      <c r="K609" s="117"/>
      <c r="L609" s="117"/>
      <c r="M609" s="38">
        <f t="shared" ref="M609:M618" si="360">M608+L609</f>
        <v>-1459</v>
      </c>
      <c r="N609" s="106"/>
      <c r="O609" s="107"/>
      <c r="P609" s="26">
        <f t="shared" ref="P609:P618" si="361">P608+O609</f>
        <v>-1459</v>
      </c>
      <c r="Q609" s="117"/>
      <c r="R609" s="117"/>
      <c r="S609" s="38">
        <f t="shared" ref="S609:S618" si="362">S608+R609</f>
        <v>-1459</v>
      </c>
      <c r="T609" s="106"/>
      <c r="U609" s="107"/>
      <c r="V609" s="20">
        <f t="shared" ref="V609:V618" si="363">V608+U609</f>
        <v>-1459</v>
      </c>
      <c r="W609" s="143"/>
    </row>
    <row r="610" spans="1:23" ht="15.75" customHeight="1">
      <c r="A610" s="114"/>
      <c r="B610" s="106"/>
      <c r="C610" s="107"/>
      <c r="D610" s="26">
        <f t="shared" si="357"/>
        <v>-1459</v>
      </c>
      <c r="E610" s="117"/>
      <c r="F610" s="117"/>
      <c r="G610" s="19">
        <f t="shared" si="358"/>
        <v>-1459</v>
      </c>
      <c r="H610" s="116"/>
      <c r="I610" s="107"/>
      <c r="J610" s="26">
        <f t="shared" si="359"/>
        <v>-1459</v>
      </c>
      <c r="K610" s="117"/>
      <c r="L610" s="117"/>
      <c r="M610" s="38">
        <f t="shared" si="360"/>
        <v>-1459</v>
      </c>
      <c r="N610" s="106"/>
      <c r="O610" s="107"/>
      <c r="P610" s="26">
        <f t="shared" si="361"/>
        <v>-1459</v>
      </c>
      <c r="Q610" s="117"/>
      <c r="R610" s="117"/>
      <c r="S610" s="38">
        <f t="shared" si="362"/>
        <v>-1459</v>
      </c>
      <c r="T610" s="106"/>
      <c r="U610" s="116"/>
      <c r="V610" s="20">
        <f t="shared" si="363"/>
        <v>-1459</v>
      </c>
      <c r="W610" s="143"/>
    </row>
    <row r="611" spans="1:23" ht="15.75" customHeight="1">
      <c r="A611" s="114"/>
      <c r="B611" s="106"/>
      <c r="C611" s="107"/>
      <c r="D611" s="26">
        <f t="shared" si="357"/>
        <v>-1459</v>
      </c>
      <c r="E611" s="117"/>
      <c r="F611" s="117"/>
      <c r="G611" s="19">
        <f t="shared" si="358"/>
        <v>-1459</v>
      </c>
      <c r="H611" s="116"/>
      <c r="I611" s="107"/>
      <c r="J611" s="26">
        <f t="shared" si="359"/>
        <v>-1459</v>
      </c>
      <c r="K611" s="117"/>
      <c r="L611" s="117"/>
      <c r="M611" s="38">
        <f t="shared" si="360"/>
        <v>-1459</v>
      </c>
      <c r="N611" s="106"/>
      <c r="O611" s="107"/>
      <c r="P611" s="26">
        <f t="shared" si="361"/>
        <v>-1459</v>
      </c>
      <c r="Q611" s="117"/>
      <c r="R611" s="117"/>
      <c r="S611" s="38">
        <f t="shared" si="362"/>
        <v>-1459</v>
      </c>
      <c r="T611" s="106"/>
      <c r="U611" s="116"/>
      <c r="V611" s="20">
        <f t="shared" si="363"/>
        <v>-1459</v>
      </c>
      <c r="W611" s="143"/>
    </row>
    <row r="612" spans="1:23" ht="15.75" customHeight="1">
      <c r="A612" s="114"/>
      <c r="B612" s="106"/>
      <c r="C612" s="107"/>
      <c r="D612" s="26">
        <f t="shared" si="357"/>
        <v>-1459</v>
      </c>
      <c r="E612" s="117"/>
      <c r="F612" s="117"/>
      <c r="G612" s="19">
        <f t="shared" si="358"/>
        <v>-1459</v>
      </c>
      <c r="H612" s="116"/>
      <c r="I612" s="107"/>
      <c r="J612" s="26">
        <f t="shared" si="359"/>
        <v>-1459</v>
      </c>
      <c r="K612" s="117"/>
      <c r="L612" s="117"/>
      <c r="M612" s="38">
        <f t="shared" si="360"/>
        <v>-1459</v>
      </c>
      <c r="N612" s="106"/>
      <c r="O612" s="107"/>
      <c r="P612" s="26">
        <f t="shared" si="361"/>
        <v>-1459</v>
      </c>
      <c r="Q612" s="117"/>
      <c r="R612" s="117"/>
      <c r="S612" s="38">
        <f t="shared" si="362"/>
        <v>-1459</v>
      </c>
      <c r="T612" s="106"/>
      <c r="U612" s="116"/>
      <c r="V612" s="20">
        <f t="shared" si="363"/>
        <v>-1459</v>
      </c>
      <c r="W612" s="143"/>
    </row>
    <row r="613" spans="1:23" ht="15.75" customHeight="1">
      <c r="A613" s="114"/>
      <c r="B613" s="106"/>
      <c r="C613" s="107"/>
      <c r="D613" s="26">
        <f t="shared" si="357"/>
        <v>-1459</v>
      </c>
      <c r="E613" s="117"/>
      <c r="F613" s="117"/>
      <c r="G613" s="19">
        <f t="shared" si="358"/>
        <v>-1459</v>
      </c>
      <c r="H613" s="116"/>
      <c r="I613" s="107"/>
      <c r="J613" s="26">
        <f t="shared" si="359"/>
        <v>-1459</v>
      </c>
      <c r="K613" s="117"/>
      <c r="L613" s="117"/>
      <c r="M613" s="38">
        <f t="shared" si="360"/>
        <v>-1459</v>
      </c>
      <c r="N613" s="106"/>
      <c r="O613" s="107"/>
      <c r="P613" s="26">
        <f t="shared" si="361"/>
        <v>-1459</v>
      </c>
      <c r="Q613" s="117"/>
      <c r="R613" s="117"/>
      <c r="S613" s="38">
        <f t="shared" si="362"/>
        <v>-1459</v>
      </c>
      <c r="T613" s="106"/>
      <c r="U613" s="116"/>
      <c r="V613" s="20">
        <f t="shared" si="363"/>
        <v>-1459</v>
      </c>
      <c r="W613" s="143"/>
    </row>
    <row r="614" spans="1:23" ht="15.75" customHeight="1">
      <c r="A614" s="114"/>
      <c r="B614" s="106"/>
      <c r="C614" s="107"/>
      <c r="D614" s="26">
        <f t="shared" si="357"/>
        <v>-1459</v>
      </c>
      <c r="E614" s="117"/>
      <c r="F614" s="117"/>
      <c r="G614" s="19">
        <f t="shared" si="358"/>
        <v>-1459</v>
      </c>
      <c r="H614" s="116"/>
      <c r="I614" s="107"/>
      <c r="J614" s="26">
        <f t="shared" si="359"/>
        <v>-1459</v>
      </c>
      <c r="K614" s="117"/>
      <c r="L614" s="117"/>
      <c r="M614" s="38">
        <f t="shared" si="360"/>
        <v>-1459</v>
      </c>
      <c r="N614" s="106"/>
      <c r="O614" s="107"/>
      <c r="P614" s="26">
        <f t="shared" si="361"/>
        <v>-1459</v>
      </c>
      <c r="Q614" s="117"/>
      <c r="R614" s="117"/>
      <c r="S614" s="38">
        <f t="shared" si="362"/>
        <v>-1459</v>
      </c>
      <c r="T614" s="106"/>
      <c r="U614" s="116"/>
      <c r="V614" s="20">
        <f t="shared" si="363"/>
        <v>-1459</v>
      </c>
      <c r="W614" s="143"/>
    </row>
    <row r="615" spans="1:23" ht="15.75" customHeight="1">
      <c r="A615" s="114"/>
      <c r="B615" s="106"/>
      <c r="C615" s="107"/>
      <c r="D615" s="26">
        <f t="shared" si="357"/>
        <v>-1459</v>
      </c>
      <c r="E615" s="117"/>
      <c r="F615" s="117"/>
      <c r="G615" s="19">
        <f t="shared" si="358"/>
        <v>-1459</v>
      </c>
      <c r="H615" s="116"/>
      <c r="I615" s="107"/>
      <c r="J615" s="26">
        <f t="shared" si="359"/>
        <v>-1459</v>
      </c>
      <c r="K615" s="117"/>
      <c r="L615" s="117"/>
      <c r="M615" s="38">
        <f t="shared" si="360"/>
        <v>-1459</v>
      </c>
      <c r="N615" s="106"/>
      <c r="O615" s="107"/>
      <c r="P615" s="26">
        <f t="shared" si="361"/>
        <v>-1459</v>
      </c>
      <c r="Q615" s="117"/>
      <c r="R615" s="117"/>
      <c r="S615" s="38">
        <f t="shared" si="362"/>
        <v>-1459</v>
      </c>
      <c r="T615" s="106"/>
      <c r="U615" s="116"/>
      <c r="V615" s="20">
        <f t="shared" si="363"/>
        <v>-1459</v>
      </c>
      <c r="W615" s="143"/>
    </row>
    <row r="616" spans="1:23" ht="15.75" customHeight="1">
      <c r="A616" s="114"/>
      <c r="B616" s="122"/>
      <c r="C616" s="123"/>
      <c r="D616" s="26">
        <f t="shared" si="357"/>
        <v>-1459</v>
      </c>
      <c r="E616" s="117"/>
      <c r="F616" s="117"/>
      <c r="G616" s="19">
        <f t="shared" si="358"/>
        <v>-1459</v>
      </c>
      <c r="H616" s="124"/>
      <c r="I616" s="123"/>
      <c r="J616" s="26">
        <f t="shared" si="359"/>
        <v>-1459</v>
      </c>
      <c r="K616" s="117"/>
      <c r="L616" s="117"/>
      <c r="M616" s="38">
        <f t="shared" si="360"/>
        <v>-1459</v>
      </c>
      <c r="N616" s="122"/>
      <c r="O616" s="123"/>
      <c r="P616" s="26">
        <f t="shared" si="361"/>
        <v>-1459</v>
      </c>
      <c r="Q616" s="117"/>
      <c r="R616" s="117"/>
      <c r="S616" s="38">
        <f t="shared" si="362"/>
        <v>-1459</v>
      </c>
      <c r="T616" s="106"/>
      <c r="U616" s="116"/>
      <c r="V616" s="20">
        <f t="shared" si="363"/>
        <v>-1459</v>
      </c>
      <c r="W616" s="143"/>
    </row>
    <row r="617" spans="1:23" ht="15.75" customHeight="1">
      <c r="A617" s="114"/>
      <c r="B617" s="122"/>
      <c r="C617" s="123"/>
      <c r="D617" s="26">
        <f t="shared" si="357"/>
        <v>-1459</v>
      </c>
      <c r="E617" s="117"/>
      <c r="F617" s="117"/>
      <c r="G617" s="19">
        <f t="shared" si="358"/>
        <v>-1459</v>
      </c>
      <c r="H617" s="124"/>
      <c r="I617" s="123"/>
      <c r="J617" s="26">
        <f t="shared" si="359"/>
        <v>-1459</v>
      </c>
      <c r="K617" s="117"/>
      <c r="L617" s="117"/>
      <c r="M617" s="38">
        <f t="shared" si="360"/>
        <v>-1459</v>
      </c>
      <c r="N617" s="122"/>
      <c r="O617" s="123"/>
      <c r="P617" s="26">
        <f t="shared" si="361"/>
        <v>-1459</v>
      </c>
      <c r="Q617" s="117"/>
      <c r="R617" s="117"/>
      <c r="S617" s="38">
        <f t="shared" si="362"/>
        <v>-1459</v>
      </c>
      <c r="T617" s="122"/>
      <c r="U617" s="124"/>
      <c r="V617" s="20">
        <f t="shared" si="363"/>
        <v>-1459</v>
      </c>
      <c r="W617" s="143"/>
    </row>
    <row r="618" spans="1:23" ht="15.75" customHeight="1">
      <c r="A618" s="114"/>
      <c r="B618" s="122"/>
      <c r="C618" s="123"/>
      <c r="D618" s="39">
        <f t="shared" si="357"/>
        <v>-1459</v>
      </c>
      <c r="E618" s="128"/>
      <c r="F618" s="128"/>
      <c r="G618" s="55">
        <f t="shared" si="358"/>
        <v>-1459</v>
      </c>
      <c r="H618" s="124"/>
      <c r="I618" s="123"/>
      <c r="J618" s="39">
        <f t="shared" si="359"/>
        <v>-1459</v>
      </c>
      <c r="K618" s="128"/>
      <c r="L618" s="128"/>
      <c r="M618" s="40">
        <f t="shared" si="360"/>
        <v>-1459</v>
      </c>
      <c r="N618" s="122"/>
      <c r="O618" s="123"/>
      <c r="P618" s="39">
        <f t="shared" si="361"/>
        <v>-1459</v>
      </c>
      <c r="Q618" s="128"/>
      <c r="R618" s="128"/>
      <c r="S618" s="40">
        <f t="shared" si="362"/>
        <v>-1459</v>
      </c>
      <c r="T618" s="122"/>
      <c r="U618" s="123"/>
      <c r="V618" s="49">
        <f t="shared" si="363"/>
        <v>-1459</v>
      </c>
      <c r="W618" s="143"/>
    </row>
    <row r="619" spans="1:23" ht="15.75" customHeight="1">
      <c r="A619" s="87"/>
      <c r="B619" s="77">
        <f ca="1">IFERROR(__xludf.DUMMYFUNCTION("DATE(VALUE(LEFT($B$2,4)),VALUE(MID($B$2,6,2)),VALUE(RIGHT($B$2,2)))
+ (VALUE(REGEXEXTRACT(INDIRECT(""A""&amp;ROW()+1),""\d+""))-1)*7
+ INT((COLUMN()-COLUMN($B619))/3)
"),47482)</f>
        <v>47482</v>
      </c>
      <c r="C619" s="81"/>
      <c r="D619" s="82"/>
      <c r="E619" s="77">
        <f ca="1">IFERROR(__xludf.DUMMYFUNCTION("DATE(VALUE(LEFT($B$2,4)),VALUE(MID($B$2,6,2)),VALUE(RIGHT($B$2,2)))
+ (VALUE(REGEXEXTRACT(INDIRECT(""A""&amp;ROW()+1),""\d+""))-1)*7
+ INT((COLUMN()-COLUMN($B619))/3)
"),47483)</f>
        <v>47483</v>
      </c>
      <c r="F619" s="81"/>
      <c r="G619" s="82"/>
      <c r="H619" s="77">
        <f ca="1">IFERROR(__xludf.DUMMYFUNCTION("DATE(VALUE(LEFT($B$2,4)),VALUE(MID($B$2,6,2)),VALUE(RIGHT($B$2,2)))
+ (VALUE(REGEXEXTRACT(INDIRECT(""A""&amp;ROW()+1),""\d+""))-1)*7
+ INT((COLUMN()-COLUMN($B619))/3)
"),47484)</f>
        <v>47484</v>
      </c>
      <c r="I619" s="81"/>
      <c r="J619" s="82"/>
      <c r="K619" s="77">
        <f ca="1">IFERROR(__xludf.DUMMYFUNCTION("DATE(VALUE(LEFT($B$2,4)),VALUE(MID($B$2,6,2)),VALUE(RIGHT($B$2,2)))
+ (VALUE(REGEXEXTRACT(INDIRECT(""A""&amp;ROW()+1),""\d+""))-1)*7
+ INT((COLUMN()-COLUMN($B619))/3)
"),47485)</f>
        <v>47485</v>
      </c>
      <c r="L619" s="81"/>
      <c r="M619" s="82"/>
      <c r="N619" s="77">
        <f ca="1">IFERROR(__xludf.DUMMYFUNCTION("DATE(VALUE(LEFT($B$2,4)),VALUE(MID($B$2,6,2)),VALUE(RIGHT($B$2,2)))
+ (VALUE(REGEXEXTRACT(INDIRECT(""A""&amp;ROW()+1),""\d+""))-1)*7
+ INT((COLUMN()-COLUMN($B619))/3)
"),47486)</f>
        <v>47486</v>
      </c>
      <c r="O619" s="81"/>
      <c r="P619" s="82"/>
      <c r="Q619" s="77">
        <f ca="1">IFERROR(__xludf.DUMMYFUNCTION("DATE(VALUE(LEFT($B$2,4)),VALUE(MID($B$2,6,2)),VALUE(RIGHT($B$2,2)))
+ (VALUE(REGEXEXTRACT(INDIRECT(""A""&amp;ROW()+1),""\d+""))-1)*7
+ INT((COLUMN()-COLUMN($B619))/3)
"),47487)</f>
        <v>47487</v>
      </c>
      <c r="R619" s="81"/>
      <c r="S619" s="82"/>
      <c r="T619" s="77">
        <f ca="1">IFERROR(__xludf.DUMMYFUNCTION("DATE(VALUE(LEFT($B$2,4)),VALUE(MID($B$2,6,2)),VALUE(RIGHT($B$2,2)))
+ (VALUE(REGEXEXTRACT(INDIRECT(""A""&amp;ROW()+1),""\d+""))-1)*7
+ INT((COLUMN()-COLUMN($B619))/3)
"),47488)</f>
        <v>47488</v>
      </c>
      <c r="U619" s="81"/>
      <c r="V619" s="82"/>
      <c r="W619" s="52" t="s">
        <v>20</v>
      </c>
    </row>
    <row r="620" spans="1:23" ht="15.75" customHeight="1">
      <c r="A620" s="47" t="s">
        <v>181</v>
      </c>
      <c r="B620" s="113"/>
      <c r="C620" s="109"/>
      <c r="D620" s="42">
        <f>V618+C620</f>
        <v>-1459</v>
      </c>
      <c r="E620" s="112"/>
      <c r="F620" s="111"/>
      <c r="G620" s="36">
        <f>D630+F620</f>
        <v>-1459</v>
      </c>
      <c r="H620" s="132"/>
      <c r="I620" s="109"/>
      <c r="J620" s="42">
        <f>G630+I620</f>
        <v>-1459</v>
      </c>
      <c r="K620" s="112"/>
      <c r="L620" s="111"/>
      <c r="M620" s="18">
        <f>J630+L620</f>
        <v>-1459</v>
      </c>
      <c r="N620" s="113"/>
      <c r="O620" s="109"/>
      <c r="P620" s="35">
        <f>M630+O620</f>
        <v>-1459</v>
      </c>
      <c r="Q620" s="112"/>
      <c r="R620" s="111"/>
      <c r="S620" s="36">
        <f>P630+R620</f>
        <v>-1459</v>
      </c>
      <c r="T620" s="176"/>
      <c r="U620" s="173"/>
      <c r="V620" s="50">
        <f>S630+U620</f>
        <v>-1459</v>
      </c>
      <c r="W620" s="172"/>
    </row>
    <row r="621" spans="1:23" ht="15.75" customHeight="1">
      <c r="A621" s="114"/>
      <c r="B621" s="118"/>
      <c r="C621" s="117"/>
      <c r="D621" s="19">
        <f t="shared" ref="D621:D630" si="364">D620+C621</f>
        <v>-1459</v>
      </c>
      <c r="E621" s="106"/>
      <c r="F621" s="107"/>
      <c r="G621" s="26">
        <f t="shared" ref="G621:G630" si="365">G620+F621</f>
        <v>-1459</v>
      </c>
      <c r="H621" s="133"/>
      <c r="I621" s="117"/>
      <c r="J621" s="19">
        <f t="shared" ref="J621:J630" si="366">J620+I621</f>
        <v>-1459</v>
      </c>
      <c r="K621" s="106"/>
      <c r="L621" s="107"/>
      <c r="M621" s="26">
        <f t="shared" ref="M621:M630" si="367">M620+L621</f>
        <v>-1459</v>
      </c>
      <c r="N621" s="118"/>
      <c r="O621" s="117"/>
      <c r="P621" s="38">
        <f t="shared" ref="P621:P630" si="368">P620+O621</f>
        <v>-1459</v>
      </c>
      <c r="Q621" s="106"/>
      <c r="R621" s="107"/>
      <c r="S621" s="26">
        <f t="shared" ref="S621:S630" si="369">S620+R621</f>
        <v>-1459</v>
      </c>
      <c r="T621" s="177"/>
      <c r="U621" s="136"/>
      <c r="V621" s="45">
        <f t="shared" ref="V621:V630" si="370">V620+U621</f>
        <v>-1459</v>
      </c>
      <c r="W621" s="143"/>
    </row>
    <row r="622" spans="1:23" ht="15.75" customHeight="1">
      <c r="A622" s="114"/>
      <c r="B622" s="118"/>
      <c r="C622" s="117"/>
      <c r="D622" s="19">
        <f t="shared" si="364"/>
        <v>-1459</v>
      </c>
      <c r="E622" s="106"/>
      <c r="F622" s="107"/>
      <c r="G622" s="26">
        <f t="shared" si="365"/>
        <v>-1459</v>
      </c>
      <c r="H622" s="133"/>
      <c r="I622" s="117"/>
      <c r="J622" s="19">
        <f t="shared" si="366"/>
        <v>-1459</v>
      </c>
      <c r="K622" s="106"/>
      <c r="L622" s="107"/>
      <c r="M622" s="26">
        <f t="shared" si="367"/>
        <v>-1459</v>
      </c>
      <c r="N622" s="117"/>
      <c r="O622" s="117"/>
      <c r="P622" s="38">
        <f t="shared" si="368"/>
        <v>-1459</v>
      </c>
      <c r="Q622" s="106"/>
      <c r="R622" s="107"/>
      <c r="S622" s="26">
        <f t="shared" si="369"/>
        <v>-1459</v>
      </c>
      <c r="T622" s="177"/>
      <c r="U622" s="136"/>
      <c r="V622" s="45">
        <f t="shared" si="370"/>
        <v>-1459</v>
      </c>
      <c r="W622" s="143"/>
    </row>
    <row r="623" spans="1:23" ht="15.75" customHeight="1">
      <c r="A623" s="114"/>
      <c r="B623" s="118"/>
      <c r="C623" s="117"/>
      <c r="D623" s="19">
        <f t="shared" si="364"/>
        <v>-1459</v>
      </c>
      <c r="E623" s="106"/>
      <c r="F623" s="107"/>
      <c r="G623" s="26">
        <f t="shared" si="365"/>
        <v>-1459</v>
      </c>
      <c r="H623" s="133"/>
      <c r="I623" s="117"/>
      <c r="J623" s="19">
        <f t="shared" si="366"/>
        <v>-1459</v>
      </c>
      <c r="K623" s="106"/>
      <c r="L623" s="107"/>
      <c r="M623" s="26">
        <f t="shared" si="367"/>
        <v>-1459</v>
      </c>
      <c r="N623" s="117"/>
      <c r="O623" s="117"/>
      <c r="P623" s="38">
        <f t="shared" si="368"/>
        <v>-1459</v>
      </c>
      <c r="Q623" s="106"/>
      <c r="R623" s="107"/>
      <c r="S623" s="26">
        <f t="shared" si="369"/>
        <v>-1459</v>
      </c>
      <c r="T623" s="177"/>
      <c r="U623" s="136"/>
      <c r="V623" s="45">
        <f t="shared" si="370"/>
        <v>-1459</v>
      </c>
      <c r="W623" s="143"/>
    </row>
    <row r="624" spans="1:23" ht="15.75" customHeight="1">
      <c r="A624" s="114"/>
      <c r="B624" s="118"/>
      <c r="C624" s="117"/>
      <c r="D624" s="19">
        <f t="shared" si="364"/>
        <v>-1459</v>
      </c>
      <c r="E624" s="106"/>
      <c r="F624" s="107"/>
      <c r="G624" s="26">
        <f t="shared" si="365"/>
        <v>-1459</v>
      </c>
      <c r="H624" s="133"/>
      <c r="I624" s="117"/>
      <c r="J624" s="19">
        <f t="shared" si="366"/>
        <v>-1459</v>
      </c>
      <c r="K624" s="106"/>
      <c r="L624" s="107"/>
      <c r="M624" s="26">
        <f t="shared" si="367"/>
        <v>-1459</v>
      </c>
      <c r="N624" s="117"/>
      <c r="O624" s="117"/>
      <c r="P624" s="38">
        <f t="shared" si="368"/>
        <v>-1459</v>
      </c>
      <c r="Q624" s="106"/>
      <c r="R624" s="107"/>
      <c r="S624" s="26">
        <f t="shared" si="369"/>
        <v>-1459</v>
      </c>
      <c r="T624" s="177"/>
      <c r="U624" s="136"/>
      <c r="V624" s="45">
        <f t="shared" si="370"/>
        <v>-1459</v>
      </c>
      <c r="W624" s="143"/>
    </row>
    <row r="625" spans="1:23" ht="15.75" customHeight="1">
      <c r="A625" s="114"/>
      <c r="B625" s="118"/>
      <c r="C625" s="117"/>
      <c r="D625" s="19">
        <f t="shared" si="364"/>
        <v>-1459</v>
      </c>
      <c r="E625" s="106"/>
      <c r="F625" s="107"/>
      <c r="G625" s="26">
        <f t="shared" si="365"/>
        <v>-1459</v>
      </c>
      <c r="H625" s="133"/>
      <c r="I625" s="117"/>
      <c r="J625" s="19">
        <f t="shared" si="366"/>
        <v>-1459</v>
      </c>
      <c r="K625" s="106"/>
      <c r="L625" s="107"/>
      <c r="M625" s="26">
        <f t="shared" si="367"/>
        <v>-1459</v>
      </c>
      <c r="N625" s="117"/>
      <c r="O625" s="117"/>
      <c r="P625" s="38">
        <f t="shared" si="368"/>
        <v>-1459</v>
      </c>
      <c r="Q625" s="106"/>
      <c r="R625" s="107"/>
      <c r="S625" s="26">
        <f t="shared" si="369"/>
        <v>-1459</v>
      </c>
      <c r="T625" s="177"/>
      <c r="U625" s="136"/>
      <c r="V625" s="45">
        <f t="shared" si="370"/>
        <v>-1459</v>
      </c>
      <c r="W625" s="143"/>
    </row>
    <row r="626" spans="1:23" ht="15.75" customHeight="1">
      <c r="A626" s="114"/>
      <c r="B626" s="117"/>
      <c r="C626" s="117"/>
      <c r="D626" s="19">
        <f t="shared" si="364"/>
        <v>-1459</v>
      </c>
      <c r="E626" s="106"/>
      <c r="F626" s="107"/>
      <c r="G626" s="26">
        <f t="shared" si="365"/>
        <v>-1459</v>
      </c>
      <c r="H626" s="133"/>
      <c r="I626" s="117"/>
      <c r="J626" s="19">
        <f t="shared" si="366"/>
        <v>-1459</v>
      </c>
      <c r="K626" s="106"/>
      <c r="L626" s="107"/>
      <c r="M626" s="26">
        <f t="shared" si="367"/>
        <v>-1459</v>
      </c>
      <c r="N626" s="117"/>
      <c r="O626" s="117"/>
      <c r="P626" s="38">
        <f t="shared" si="368"/>
        <v>-1459</v>
      </c>
      <c r="Q626" s="106"/>
      <c r="R626" s="107"/>
      <c r="S626" s="26">
        <f t="shared" si="369"/>
        <v>-1459</v>
      </c>
      <c r="T626" s="177"/>
      <c r="U626" s="136"/>
      <c r="V626" s="45">
        <f t="shared" si="370"/>
        <v>-1459</v>
      </c>
      <c r="W626" s="143"/>
    </row>
    <row r="627" spans="1:23" ht="15.75" customHeight="1">
      <c r="A627" s="114"/>
      <c r="B627" s="117"/>
      <c r="C627" s="117"/>
      <c r="D627" s="19">
        <f t="shared" si="364"/>
        <v>-1459</v>
      </c>
      <c r="E627" s="106"/>
      <c r="F627" s="107"/>
      <c r="G627" s="26">
        <f t="shared" si="365"/>
        <v>-1459</v>
      </c>
      <c r="H627" s="133"/>
      <c r="I627" s="117"/>
      <c r="J627" s="19">
        <f t="shared" si="366"/>
        <v>-1459</v>
      </c>
      <c r="K627" s="106"/>
      <c r="L627" s="107"/>
      <c r="M627" s="26">
        <f t="shared" si="367"/>
        <v>-1459</v>
      </c>
      <c r="N627" s="117"/>
      <c r="O627" s="117"/>
      <c r="P627" s="38">
        <f t="shared" si="368"/>
        <v>-1459</v>
      </c>
      <c r="Q627" s="106"/>
      <c r="R627" s="107"/>
      <c r="S627" s="26">
        <f t="shared" si="369"/>
        <v>-1459</v>
      </c>
      <c r="T627" s="177"/>
      <c r="U627" s="136"/>
      <c r="V627" s="45">
        <f t="shared" si="370"/>
        <v>-1459</v>
      </c>
      <c r="W627" s="143"/>
    </row>
    <row r="628" spans="1:23" ht="15.75" customHeight="1">
      <c r="A628" s="114"/>
      <c r="B628" s="117"/>
      <c r="C628" s="117"/>
      <c r="D628" s="19">
        <f t="shared" si="364"/>
        <v>-1459</v>
      </c>
      <c r="E628" s="106"/>
      <c r="F628" s="107"/>
      <c r="G628" s="26">
        <f t="shared" si="365"/>
        <v>-1459</v>
      </c>
      <c r="H628" s="133"/>
      <c r="I628" s="117"/>
      <c r="J628" s="19">
        <f t="shared" si="366"/>
        <v>-1459</v>
      </c>
      <c r="K628" s="106"/>
      <c r="L628" s="107"/>
      <c r="M628" s="26">
        <f t="shared" si="367"/>
        <v>-1459</v>
      </c>
      <c r="N628" s="117"/>
      <c r="O628" s="117"/>
      <c r="P628" s="38">
        <f t="shared" si="368"/>
        <v>-1459</v>
      </c>
      <c r="Q628" s="106"/>
      <c r="R628" s="107"/>
      <c r="S628" s="26">
        <f t="shared" si="369"/>
        <v>-1459</v>
      </c>
      <c r="T628" s="177"/>
      <c r="U628" s="136"/>
      <c r="V628" s="45">
        <f t="shared" si="370"/>
        <v>-1459</v>
      </c>
      <c r="W628" s="143"/>
    </row>
    <row r="629" spans="1:23" ht="15.75" customHeight="1">
      <c r="A629" s="114"/>
      <c r="B629" s="117"/>
      <c r="C629" s="117"/>
      <c r="D629" s="19">
        <f t="shared" si="364"/>
        <v>-1459</v>
      </c>
      <c r="E629" s="122"/>
      <c r="F629" s="123"/>
      <c r="G629" s="26">
        <f t="shared" si="365"/>
        <v>-1459</v>
      </c>
      <c r="H629" s="133"/>
      <c r="I629" s="117"/>
      <c r="J629" s="19">
        <f t="shared" si="366"/>
        <v>-1459</v>
      </c>
      <c r="K629" s="122"/>
      <c r="L629" s="123"/>
      <c r="M629" s="26">
        <f t="shared" si="367"/>
        <v>-1459</v>
      </c>
      <c r="N629" s="117"/>
      <c r="O629" s="117"/>
      <c r="P629" s="38">
        <f t="shared" si="368"/>
        <v>-1459</v>
      </c>
      <c r="Q629" s="122"/>
      <c r="R629" s="123"/>
      <c r="S629" s="26">
        <f t="shared" si="369"/>
        <v>-1459</v>
      </c>
      <c r="T629" s="177"/>
      <c r="U629" s="136"/>
      <c r="V629" s="45">
        <f t="shared" si="370"/>
        <v>-1459</v>
      </c>
      <c r="W629" s="143"/>
    </row>
    <row r="630" spans="1:23" ht="15.75" customHeight="1">
      <c r="A630" s="114"/>
      <c r="B630" s="128"/>
      <c r="C630" s="128"/>
      <c r="D630" s="29">
        <f t="shared" si="364"/>
        <v>-1459</v>
      </c>
      <c r="E630" s="122"/>
      <c r="F630" s="123"/>
      <c r="G630" s="53">
        <f t="shared" si="365"/>
        <v>-1459</v>
      </c>
      <c r="H630" s="140"/>
      <c r="I630" s="128"/>
      <c r="J630" s="29">
        <f t="shared" si="366"/>
        <v>-1459</v>
      </c>
      <c r="K630" s="122"/>
      <c r="L630" s="123"/>
      <c r="M630" s="39">
        <f t="shared" si="367"/>
        <v>-1459</v>
      </c>
      <c r="N630" s="128"/>
      <c r="O630" s="128"/>
      <c r="P630" s="40">
        <f t="shared" si="368"/>
        <v>-1459</v>
      </c>
      <c r="Q630" s="122"/>
      <c r="R630" s="123"/>
      <c r="S630" s="53">
        <f t="shared" si="369"/>
        <v>-1459</v>
      </c>
      <c r="T630" s="178"/>
      <c r="U630" s="141"/>
      <c r="V630" s="46">
        <f t="shared" si="370"/>
        <v>-1459</v>
      </c>
      <c r="W630" s="143"/>
    </row>
    <row r="631" spans="1:23" ht="15.75" customHeight="1">
      <c r="A631" s="87"/>
      <c r="B631" s="77">
        <f ca="1">IFERROR(__xludf.DUMMYFUNCTION("DATE(VALUE(LEFT($B$2,4)),VALUE(MID($B$2,6,2)),VALUE(RIGHT($B$2,2)))
+ (VALUE(REGEXEXTRACT(INDIRECT(""A""&amp;ROW()+1),""\d+""))-1)*7
+ INT((COLUMN()-COLUMN($B631))/3)
"),47489)</f>
        <v>47489</v>
      </c>
      <c r="C631" s="81"/>
      <c r="D631" s="82"/>
      <c r="E631" s="77">
        <f ca="1">IFERROR(__xludf.DUMMYFUNCTION("DATE(VALUE(LEFT($B$2,4)),VALUE(MID($B$2,6,2)),VALUE(RIGHT($B$2,2)))
+ (VALUE(REGEXEXTRACT(INDIRECT(""A""&amp;ROW()+1),""\d+""))-1)*7
+ INT((COLUMN()-COLUMN($B631))/3)
"),47490)</f>
        <v>47490</v>
      </c>
      <c r="F631" s="81"/>
      <c r="G631" s="82"/>
      <c r="H631" s="77">
        <f ca="1">IFERROR(__xludf.DUMMYFUNCTION("DATE(VALUE(LEFT($B$2,4)),VALUE(MID($B$2,6,2)),VALUE(RIGHT($B$2,2)))
+ (VALUE(REGEXEXTRACT(INDIRECT(""A""&amp;ROW()+1),""\d+""))-1)*7
+ INT((COLUMN()-COLUMN($B631))/3)
"),47491)</f>
        <v>47491</v>
      </c>
      <c r="I631" s="81"/>
      <c r="J631" s="82"/>
      <c r="K631" s="77">
        <f ca="1">IFERROR(__xludf.DUMMYFUNCTION("DATE(VALUE(LEFT($B$2,4)),VALUE(MID($B$2,6,2)),VALUE(RIGHT($B$2,2)))
+ (VALUE(REGEXEXTRACT(INDIRECT(""A""&amp;ROW()+1),""\d+""))-1)*7
+ INT((COLUMN()-COLUMN($B631))/3)
"),47492)</f>
        <v>47492</v>
      </c>
      <c r="L631" s="81"/>
      <c r="M631" s="82"/>
      <c r="N631" s="77">
        <f ca="1">IFERROR(__xludf.DUMMYFUNCTION("DATE(VALUE(LEFT($B$2,4)),VALUE(MID($B$2,6,2)),VALUE(RIGHT($B$2,2)))
+ (VALUE(REGEXEXTRACT(INDIRECT(""A""&amp;ROW()+1),""\d+""))-1)*7
+ INT((COLUMN()-COLUMN($B631))/3)
"),47493)</f>
        <v>47493</v>
      </c>
      <c r="O631" s="81"/>
      <c r="P631" s="82"/>
      <c r="Q631" s="77">
        <f ca="1">IFERROR(__xludf.DUMMYFUNCTION("DATE(VALUE(LEFT($B$2,4)),VALUE(MID($B$2,6,2)),VALUE(RIGHT($B$2,2)))
+ (VALUE(REGEXEXTRACT(INDIRECT(""A""&amp;ROW()+1),""\d+""))-1)*7
+ INT((COLUMN()-COLUMN($B631))/3)
"),47494)</f>
        <v>47494</v>
      </c>
      <c r="R631" s="81"/>
      <c r="S631" s="82"/>
      <c r="T631" s="77">
        <f ca="1">IFERROR(__xludf.DUMMYFUNCTION("DATE(VALUE(LEFT($B$2,4)),VALUE(MID($B$2,6,2)),VALUE(RIGHT($B$2,2)))
+ (VALUE(REGEXEXTRACT(INDIRECT(""A""&amp;ROW()+1),""\d+""))-1)*7
+ INT((COLUMN()-COLUMN($B631))/3)
"),47495)</f>
        <v>47495</v>
      </c>
      <c r="U631" s="81"/>
      <c r="V631" s="82"/>
      <c r="W631" s="143"/>
    </row>
    <row r="632" spans="1:23" ht="15.75" customHeight="1">
      <c r="A632" s="51" t="s">
        <v>182</v>
      </c>
      <c r="B632" s="112"/>
      <c r="C632" s="111"/>
      <c r="D632" s="17">
        <f>V630+C632</f>
        <v>-1459</v>
      </c>
      <c r="E632" s="109"/>
      <c r="F632" s="109"/>
      <c r="G632" s="42">
        <f>D642+F632</f>
        <v>-1459</v>
      </c>
      <c r="H632" s="112"/>
      <c r="I632" s="111"/>
      <c r="J632" s="17">
        <f>G642+I632</f>
        <v>-1459</v>
      </c>
      <c r="K632" s="109"/>
      <c r="L632" s="109"/>
      <c r="M632" s="35">
        <f>J642+L632</f>
        <v>-1459</v>
      </c>
      <c r="N632" s="112"/>
      <c r="O632" s="111"/>
      <c r="P632" s="17">
        <f>M642+O632</f>
        <v>-1459</v>
      </c>
      <c r="Q632" s="109"/>
      <c r="R632" s="109"/>
      <c r="S632" s="54">
        <f>P642+R632</f>
        <v>-1459</v>
      </c>
      <c r="T632" s="110"/>
      <c r="U632" s="111"/>
      <c r="V632" s="48">
        <f>S642+U632</f>
        <v>-1459</v>
      </c>
      <c r="W632" s="143"/>
    </row>
    <row r="633" spans="1:23" ht="15.75" customHeight="1">
      <c r="A633" s="114"/>
      <c r="B633" s="106"/>
      <c r="C633" s="107"/>
      <c r="D633" s="26">
        <f t="shared" ref="D633:D642" si="371">D632+C633</f>
        <v>-1459</v>
      </c>
      <c r="E633" s="117"/>
      <c r="F633" s="117"/>
      <c r="G633" s="19">
        <f t="shared" ref="G633:G642" si="372">G632+F633</f>
        <v>-1459</v>
      </c>
      <c r="H633" s="106"/>
      <c r="I633" s="107"/>
      <c r="J633" s="26">
        <f t="shared" ref="J633:J642" si="373">J632+I633</f>
        <v>-1459</v>
      </c>
      <c r="K633" s="117"/>
      <c r="L633" s="117"/>
      <c r="M633" s="38">
        <f t="shared" ref="M633:M642" si="374">M632+L633</f>
        <v>-1459</v>
      </c>
      <c r="N633" s="106"/>
      <c r="O633" s="107"/>
      <c r="P633" s="26">
        <f t="shared" ref="P633:P642" si="375">P632+O633</f>
        <v>-1459</v>
      </c>
      <c r="Q633" s="117"/>
      <c r="R633" s="117"/>
      <c r="S633" s="19">
        <f t="shared" ref="S633:S642" si="376">S632+R633</f>
        <v>-1459</v>
      </c>
      <c r="T633" s="116"/>
      <c r="U633" s="107"/>
      <c r="V633" s="20">
        <f t="shared" ref="V633:V642" si="377">V632+U633</f>
        <v>-1459</v>
      </c>
      <c r="W633" s="143"/>
    </row>
    <row r="634" spans="1:23" ht="15.75" customHeight="1">
      <c r="A634" s="114"/>
      <c r="B634" s="106"/>
      <c r="C634" s="107"/>
      <c r="D634" s="26">
        <f t="shared" si="371"/>
        <v>-1459</v>
      </c>
      <c r="E634" s="117"/>
      <c r="F634" s="117"/>
      <c r="G634" s="19">
        <f t="shared" si="372"/>
        <v>-1459</v>
      </c>
      <c r="H634" s="106"/>
      <c r="I634" s="107"/>
      <c r="J634" s="26">
        <f t="shared" si="373"/>
        <v>-1459</v>
      </c>
      <c r="K634" s="117"/>
      <c r="L634" s="117"/>
      <c r="M634" s="38">
        <f t="shared" si="374"/>
        <v>-1459</v>
      </c>
      <c r="N634" s="106"/>
      <c r="O634" s="107"/>
      <c r="P634" s="26">
        <f t="shared" si="375"/>
        <v>-1459</v>
      </c>
      <c r="Q634" s="117"/>
      <c r="R634" s="117"/>
      <c r="S634" s="19">
        <f t="shared" si="376"/>
        <v>-1459</v>
      </c>
      <c r="T634" s="116"/>
      <c r="U634" s="116"/>
      <c r="V634" s="20">
        <f t="shared" si="377"/>
        <v>-1459</v>
      </c>
      <c r="W634" s="143"/>
    </row>
    <row r="635" spans="1:23" ht="15.75" customHeight="1">
      <c r="A635" s="114"/>
      <c r="B635" s="106"/>
      <c r="C635" s="107"/>
      <c r="D635" s="26">
        <f t="shared" si="371"/>
        <v>-1459</v>
      </c>
      <c r="E635" s="117"/>
      <c r="F635" s="117"/>
      <c r="G635" s="19">
        <f t="shared" si="372"/>
        <v>-1459</v>
      </c>
      <c r="H635" s="106"/>
      <c r="I635" s="107"/>
      <c r="J635" s="26">
        <f t="shared" si="373"/>
        <v>-1459</v>
      </c>
      <c r="K635" s="117"/>
      <c r="L635" s="117"/>
      <c r="M635" s="38">
        <f t="shared" si="374"/>
        <v>-1459</v>
      </c>
      <c r="N635" s="106"/>
      <c r="O635" s="107"/>
      <c r="P635" s="26">
        <f t="shared" si="375"/>
        <v>-1459</v>
      </c>
      <c r="Q635" s="117"/>
      <c r="R635" s="117"/>
      <c r="S635" s="19">
        <f t="shared" si="376"/>
        <v>-1459</v>
      </c>
      <c r="T635" s="116"/>
      <c r="U635" s="116"/>
      <c r="V635" s="20">
        <f t="shared" si="377"/>
        <v>-1459</v>
      </c>
      <c r="W635" s="143"/>
    </row>
    <row r="636" spans="1:23" ht="15.75" customHeight="1">
      <c r="A636" s="114"/>
      <c r="B636" s="106"/>
      <c r="C636" s="107"/>
      <c r="D636" s="26">
        <f t="shared" si="371"/>
        <v>-1459</v>
      </c>
      <c r="E636" s="117"/>
      <c r="F636" s="117"/>
      <c r="G636" s="19">
        <f t="shared" si="372"/>
        <v>-1459</v>
      </c>
      <c r="H636" s="106"/>
      <c r="I636" s="107"/>
      <c r="J636" s="26">
        <f t="shared" si="373"/>
        <v>-1459</v>
      </c>
      <c r="K636" s="117"/>
      <c r="L636" s="117"/>
      <c r="M636" s="38">
        <f t="shared" si="374"/>
        <v>-1459</v>
      </c>
      <c r="N636" s="106"/>
      <c r="O636" s="107"/>
      <c r="P636" s="26">
        <f t="shared" si="375"/>
        <v>-1459</v>
      </c>
      <c r="Q636" s="117"/>
      <c r="R636" s="117"/>
      <c r="S636" s="19">
        <f t="shared" si="376"/>
        <v>-1459</v>
      </c>
      <c r="T636" s="116"/>
      <c r="U636" s="116"/>
      <c r="V636" s="20">
        <f t="shared" si="377"/>
        <v>-1459</v>
      </c>
      <c r="W636" s="143"/>
    </row>
    <row r="637" spans="1:23" ht="15.75" customHeight="1">
      <c r="A637" s="114"/>
      <c r="B637" s="106"/>
      <c r="C637" s="107"/>
      <c r="D637" s="26">
        <f t="shared" si="371"/>
        <v>-1459</v>
      </c>
      <c r="E637" s="117"/>
      <c r="F637" s="117"/>
      <c r="G637" s="19">
        <f t="shared" si="372"/>
        <v>-1459</v>
      </c>
      <c r="H637" s="106"/>
      <c r="I637" s="107"/>
      <c r="J637" s="26">
        <f t="shared" si="373"/>
        <v>-1459</v>
      </c>
      <c r="K637" s="117"/>
      <c r="L637" s="117"/>
      <c r="M637" s="38">
        <f t="shared" si="374"/>
        <v>-1459</v>
      </c>
      <c r="N637" s="106"/>
      <c r="O637" s="107"/>
      <c r="P637" s="26">
        <f t="shared" si="375"/>
        <v>-1459</v>
      </c>
      <c r="Q637" s="117"/>
      <c r="R637" s="117"/>
      <c r="S637" s="19">
        <f t="shared" si="376"/>
        <v>-1459</v>
      </c>
      <c r="T637" s="116"/>
      <c r="U637" s="116"/>
      <c r="V637" s="20">
        <f t="shared" si="377"/>
        <v>-1459</v>
      </c>
      <c r="W637" s="143"/>
    </row>
    <row r="638" spans="1:23" ht="15.75" customHeight="1">
      <c r="A638" s="114"/>
      <c r="B638" s="106"/>
      <c r="C638" s="107"/>
      <c r="D638" s="26">
        <f t="shared" si="371"/>
        <v>-1459</v>
      </c>
      <c r="E638" s="117"/>
      <c r="F638" s="117"/>
      <c r="G638" s="19">
        <f t="shared" si="372"/>
        <v>-1459</v>
      </c>
      <c r="H638" s="106"/>
      <c r="I638" s="107"/>
      <c r="J638" s="26">
        <f t="shared" si="373"/>
        <v>-1459</v>
      </c>
      <c r="K638" s="117"/>
      <c r="L638" s="117"/>
      <c r="M638" s="38">
        <f t="shared" si="374"/>
        <v>-1459</v>
      </c>
      <c r="N638" s="106"/>
      <c r="O638" s="107"/>
      <c r="P638" s="26">
        <f t="shared" si="375"/>
        <v>-1459</v>
      </c>
      <c r="Q638" s="117"/>
      <c r="R638" s="117"/>
      <c r="S638" s="19">
        <f t="shared" si="376"/>
        <v>-1459</v>
      </c>
      <c r="T638" s="116"/>
      <c r="U638" s="116"/>
      <c r="V638" s="20">
        <f t="shared" si="377"/>
        <v>-1459</v>
      </c>
      <c r="W638" s="143"/>
    </row>
    <row r="639" spans="1:23" ht="15.75" customHeight="1">
      <c r="A639" s="114"/>
      <c r="B639" s="106"/>
      <c r="C639" s="107"/>
      <c r="D639" s="26">
        <f t="shared" si="371"/>
        <v>-1459</v>
      </c>
      <c r="E639" s="117"/>
      <c r="F639" s="117"/>
      <c r="G639" s="19">
        <f t="shared" si="372"/>
        <v>-1459</v>
      </c>
      <c r="H639" s="106"/>
      <c r="I639" s="107"/>
      <c r="J639" s="26">
        <f t="shared" si="373"/>
        <v>-1459</v>
      </c>
      <c r="K639" s="117"/>
      <c r="L639" s="117"/>
      <c r="M639" s="38">
        <f t="shared" si="374"/>
        <v>-1459</v>
      </c>
      <c r="N639" s="106"/>
      <c r="O639" s="107"/>
      <c r="P639" s="26">
        <f t="shared" si="375"/>
        <v>-1459</v>
      </c>
      <c r="Q639" s="117"/>
      <c r="R639" s="117"/>
      <c r="S639" s="19">
        <f t="shared" si="376"/>
        <v>-1459</v>
      </c>
      <c r="T639" s="116"/>
      <c r="U639" s="116"/>
      <c r="V639" s="20">
        <f t="shared" si="377"/>
        <v>-1459</v>
      </c>
      <c r="W639" s="143"/>
    </row>
    <row r="640" spans="1:23" ht="15.75" customHeight="1">
      <c r="A640" s="114"/>
      <c r="B640" s="122"/>
      <c r="C640" s="123"/>
      <c r="D640" s="26">
        <f t="shared" si="371"/>
        <v>-1459</v>
      </c>
      <c r="E640" s="117"/>
      <c r="F640" s="117"/>
      <c r="G640" s="19">
        <f t="shared" si="372"/>
        <v>-1459</v>
      </c>
      <c r="H640" s="122"/>
      <c r="I640" s="123"/>
      <c r="J640" s="26">
        <f t="shared" si="373"/>
        <v>-1459</v>
      </c>
      <c r="K640" s="117"/>
      <c r="L640" s="117"/>
      <c r="M640" s="38">
        <f t="shared" si="374"/>
        <v>-1459</v>
      </c>
      <c r="N640" s="122"/>
      <c r="O640" s="123"/>
      <c r="P640" s="26">
        <f t="shared" si="375"/>
        <v>-1459</v>
      </c>
      <c r="Q640" s="117"/>
      <c r="R640" s="117"/>
      <c r="S640" s="19">
        <f t="shared" si="376"/>
        <v>-1459</v>
      </c>
      <c r="T640" s="116"/>
      <c r="U640" s="116"/>
      <c r="V640" s="20">
        <f t="shared" si="377"/>
        <v>-1459</v>
      </c>
      <c r="W640" s="143"/>
    </row>
    <row r="641" spans="1:23" ht="15.75" customHeight="1">
      <c r="A641" s="114"/>
      <c r="B641" s="122"/>
      <c r="C641" s="123"/>
      <c r="D641" s="26">
        <f t="shared" si="371"/>
        <v>-1459</v>
      </c>
      <c r="E641" s="117"/>
      <c r="F641" s="117"/>
      <c r="G641" s="19">
        <f t="shared" si="372"/>
        <v>-1459</v>
      </c>
      <c r="H641" s="122"/>
      <c r="I641" s="123"/>
      <c r="J641" s="26">
        <f t="shared" si="373"/>
        <v>-1459</v>
      </c>
      <c r="K641" s="117"/>
      <c r="L641" s="117"/>
      <c r="M641" s="38">
        <f t="shared" si="374"/>
        <v>-1459</v>
      </c>
      <c r="N641" s="122"/>
      <c r="O641" s="123"/>
      <c r="P641" s="26">
        <f t="shared" si="375"/>
        <v>-1459</v>
      </c>
      <c r="Q641" s="117"/>
      <c r="R641" s="117"/>
      <c r="S641" s="19">
        <f t="shared" si="376"/>
        <v>-1459</v>
      </c>
      <c r="T641" s="124"/>
      <c r="U641" s="124"/>
      <c r="V641" s="20">
        <f t="shared" si="377"/>
        <v>-1459</v>
      </c>
      <c r="W641" s="143"/>
    </row>
    <row r="642" spans="1:23" ht="15.75" customHeight="1">
      <c r="A642" s="114"/>
      <c r="B642" s="126"/>
      <c r="C642" s="127"/>
      <c r="D642" s="59">
        <f t="shared" si="371"/>
        <v>-1459</v>
      </c>
      <c r="E642" s="157"/>
      <c r="F642" s="157"/>
      <c r="G642" s="60">
        <f t="shared" si="372"/>
        <v>-1459</v>
      </c>
      <c r="H642" s="126"/>
      <c r="I642" s="127"/>
      <c r="J642" s="59">
        <f t="shared" si="373"/>
        <v>-1459</v>
      </c>
      <c r="K642" s="157"/>
      <c r="L642" s="157"/>
      <c r="M642" s="61">
        <f t="shared" si="374"/>
        <v>-1459</v>
      </c>
      <c r="N642" s="126"/>
      <c r="O642" s="127"/>
      <c r="P642" s="59">
        <f t="shared" si="375"/>
        <v>-1459</v>
      </c>
      <c r="Q642" s="157"/>
      <c r="R642" s="157"/>
      <c r="S642" s="55">
        <f t="shared" si="376"/>
        <v>-1459</v>
      </c>
      <c r="T642" s="181"/>
      <c r="U642" s="127"/>
      <c r="V642" s="62">
        <f t="shared" si="377"/>
        <v>-1459</v>
      </c>
      <c r="W642" s="143"/>
    </row>
    <row r="643" spans="1:23" ht="15.75" customHeight="1">
      <c r="A643" s="5"/>
      <c r="B643" s="74"/>
      <c r="C643" s="65"/>
      <c r="D643" s="66"/>
      <c r="E643" s="74"/>
      <c r="F643" s="65"/>
      <c r="G643" s="66"/>
      <c r="H643" s="74"/>
      <c r="I643" s="65"/>
      <c r="J643" s="66"/>
      <c r="K643" s="74"/>
      <c r="L643" s="65"/>
      <c r="M643" s="66"/>
      <c r="N643" s="74"/>
      <c r="O643" s="65"/>
      <c r="P643" s="66"/>
      <c r="Q643" s="74"/>
      <c r="R643" s="65"/>
      <c r="S643" s="66"/>
      <c r="T643" s="75"/>
      <c r="U643" s="65"/>
      <c r="V643" s="76"/>
      <c r="W643" s="6"/>
    </row>
    <row r="644" spans="1:23" ht="15.75" customHeight="1">
      <c r="A644" s="2"/>
    </row>
    <row r="645" spans="1:23" ht="15.75" customHeight="1">
      <c r="A645" s="2"/>
    </row>
    <row r="646" spans="1:23" ht="15.75" customHeight="1">
      <c r="A646" s="2"/>
    </row>
    <row r="647" spans="1:23" ht="15.75" customHeight="1">
      <c r="A647" s="2"/>
    </row>
    <row r="648" spans="1:23" ht="15.75" customHeight="1">
      <c r="A648" s="2"/>
    </row>
    <row r="649" spans="1:23" ht="15.75" customHeight="1">
      <c r="A649" s="2"/>
    </row>
    <row r="650" spans="1:23" ht="15.75" customHeight="1">
      <c r="A650" s="2"/>
    </row>
    <row r="651" spans="1:23" ht="15.75" customHeight="1">
      <c r="A651" s="2"/>
      <c r="I651" s="3" t="s">
        <v>120</v>
      </c>
    </row>
    <row r="652" spans="1:23" ht="15.75" customHeight="1">
      <c r="A652" s="2"/>
    </row>
    <row r="653" spans="1:23" ht="15.75" customHeight="1">
      <c r="A653" s="2"/>
    </row>
    <row r="654" spans="1:23" ht="15.75" customHeight="1">
      <c r="A654" s="2"/>
    </row>
    <row r="655" spans="1:23" ht="15.75" customHeight="1">
      <c r="A655" s="2"/>
    </row>
    <row r="656" spans="1:23"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386">
    <mergeCell ref="E535:G535"/>
    <mergeCell ref="H535:J535"/>
    <mergeCell ref="K535:M535"/>
    <mergeCell ref="N535:P535"/>
    <mergeCell ref="Q535:S535"/>
    <mergeCell ref="T535:V535"/>
    <mergeCell ref="B535:D535"/>
    <mergeCell ref="E547:G547"/>
    <mergeCell ref="H547:J547"/>
    <mergeCell ref="K547:M547"/>
    <mergeCell ref="N547:P547"/>
    <mergeCell ref="Q547:S547"/>
    <mergeCell ref="T547:V547"/>
    <mergeCell ref="E511:G511"/>
    <mergeCell ref="H511:J511"/>
    <mergeCell ref="K511:M511"/>
    <mergeCell ref="N511:P511"/>
    <mergeCell ref="Q511:S511"/>
    <mergeCell ref="T511:V511"/>
    <mergeCell ref="B511:D511"/>
    <mergeCell ref="E523:G523"/>
    <mergeCell ref="H523:J523"/>
    <mergeCell ref="K523:M523"/>
    <mergeCell ref="N523:P523"/>
    <mergeCell ref="Q523:S523"/>
    <mergeCell ref="T523:V523"/>
    <mergeCell ref="B523:D523"/>
    <mergeCell ref="E487:G487"/>
    <mergeCell ref="H487:J487"/>
    <mergeCell ref="K487:M487"/>
    <mergeCell ref="N487:P487"/>
    <mergeCell ref="Q487:S487"/>
    <mergeCell ref="T487:V487"/>
    <mergeCell ref="B487:D487"/>
    <mergeCell ref="E499:G499"/>
    <mergeCell ref="H499:J499"/>
    <mergeCell ref="K499:M499"/>
    <mergeCell ref="N499:P499"/>
    <mergeCell ref="Q499:S499"/>
    <mergeCell ref="T499:V499"/>
    <mergeCell ref="B499:D499"/>
    <mergeCell ref="E463:G463"/>
    <mergeCell ref="H463:J463"/>
    <mergeCell ref="K463:M463"/>
    <mergeCell ref="N463:P463"/>
    <mergeCell ref="Q463:S463"/>
    <mergeCell ref="T463:V463"/>
    <mergeCell ref="B463:D463"/>
    <mergeCell ref="E475:G475"/>
    <mergeCell ref="H475:J475"/>
    <mergeCell ref="K475:M475"/>
    <mergeCell ref="N475:P475"/>
    <mergeCell ref="Q475:S475"/>
    <mergeCell ref="T475:V475"/>
    <mergeCell ref="B475:D475"/>
    <mergeCell ref="E439:G439"/>
    <mergeCell ref="H439:J439"/>
    <mergeCell ref="K439:M439"/>
    <mergeCell ref="N439:P439"/>
    <mergeCell ref="Q439:S439"/>
    <mergeCell ref="T439:V439"/>
    <mergeCell ref="B439:D439"/>
    <mergeCell ref="E451:G451"/>
    <mergeCell ref="H451:J451"/>
    <mergeCell ref="K451:M451"/>
    <mergeCell ref="N451:P451"/>
    <mergeCell ref="Q451:S451"/>
    <mergeCell ref="T451:V451"/>
    <mergeCell ref="B451:D451"/>
    <mergeCell ref="K415:M415"/>
    <mergeCell ref="N415:P415"/>
    <mergeCell ref="Q415:S415"/>
    <mergeCell ref="T415:V415"/>
    <mergeCell ref="B415:D415"/>
    <mergeCell ref="E427:G427"/>
    <mergeCell ref="H427:J427"/>
    <mergeCell ref="K427:M427"/>
    <mergeCell ref="N427:P427"/>
    <mergeCell ref="Q427:S427"/>
    <mergeCell ref="T427:V427"/>
    <mergeCell ref="B427:D427"/>
    <mergeCell ref="B631:D631"/>
    <mergeCell ref="E631:G631"/>
    <mergeCell ref="H631:J631"/>
    <mergeCell ref="K631:M631"/>
    <mergeCell ref="N631:P631"/>
    <mergeCell ref="Q631:S631"/>
    <mergeCell ref="T631:V631"/>
    <mergeCell ref="B379:D379"/>
    <mergeCell ref="E391:G391"/>
    <mergeCell ref="H391:J391"/>
    <mergeCell ref="K391:M391"/>
    <mergeCell ref="N391:P391"/>
    <mergeCell ref="Q391:S391"/>
    <mergeCell ref="T391:V391"/>
    <mergeCell ref="B391:D391"/>
    <mergeCell ref="E403:G403"/>
    <mergeCell ref="H403:J403"/>
    <mergeCell ref="K403:M403"/>
    <mergeCell ref="N403:P403"/>
    <mergeCell ref="Q403:S403"/>
    <mergeCell ref="T403:V403"/>
    <mergeCell ref="B403:D403"/>
    <mergeCell ref="E415:G415"/>
    <mergeCell ref="H415:J415"/>
    <mergeCell ref="K23:M23"/>
    <mergeCell ref="N23:P23"/>
    <mergeCell ref="Q23:S23"/>
    <mergeCell ref="T23:V23"/>
    <mergeCell ref="B23:D23"/>
    <mergeCell ref="E34:G34"/>
    <mergeCell ref="H34:J34"/>
    <mergeCell ref="K34:M34"/>
    <mergeCell ref="N34:P34"/>
    <mergeCell ref="Q34:S34"/>
    <mergeCell ref="T34:V34"/>
    <mergeCell ref="B34:D34"/>
    <mergeCell ref="B643:D643"/>
    <mergeCell ref="E643:G643"/>
    <mergeCell ref="H643:J643"/>
    <mergeCell ref="K643:M643"/>
    <mergeCell ref="N643:P643"/>
    <mergeCell ref="Q643:S643"/>
    <mergeCell ref="T643:V643"/>
    <mergeCell ref="B1:V1"/>
    <mergeCell ref="E2:G2"/>
    <mergeCell ref="H2:J2"/>
    <mergeCell ref="K2:M2"/>
    <mergeCell ref="N2:P2"/>
    <mergeCell ref="Q2:S2"/>
    <mergeCell ref="T2:V2"/>
    <mergeCell ref="B2:D2"/>
    <mergeCell ref="E12:G12"/>
    <mergeCell ref="H12:J12"/>
    <mergeCell ref="K12:M12"/>
    <mergeCell ref="N12:P12"/>
    <mergeCell ref="Q12:S12"/>
    <mergeCell ref="T12:V12"/>
    <mergeCell ref="B12:D12"/>
    <mergeCell ref="E23:G23"/>
    <mergeCell ref="H23:J23"/>
    <mergeCell ref="E607:G607"/>
    <mergeCell ref="H607:J607"/>
    <mergeCell ref="K607:M607"/>
    <mergeCell ref="N607:P607"/>
    <mergeCell ref="Q607:S607"/>
    <mergeCell ref="T607:V607"/>
    <mergeCell ref="B607:D607"/>
    <mergeCell ref="E619:G619"/>
    <mergeCell ref="H619:J619"/>
    <mergeCell ref="K619:M619"/>
    <mergeCell ref="N619:P619"/>
    <mergeCell ref="Q619:S619"/>
    <mergeCell ref="T619:V619"/>
    <mergeCell ref="B619:D619"/>
    <mergeCell ref="E583:G583"/>
    <mergeCell ref="H583:J583"/>
    <mergeCell ref="K583:M583"/>
    <mergeCell ref="N583:P583"/>
    <mergeCell ref="Q583:S583"/>
    <mergeCell ref="T583:V583"/>
    <mergeCell ref="B583:D583"/>
    <mergeCell ref="E595:G595"/>
    <mergeCell ref="H595:J595"/>
    <mergeCell ref="K595:M595"/>
    <mergeCell ref="N595:P595"/>
    <mergeCell ref="Q595:S595"/>
    <mergeCell ref="T595:V595"/>
    <mergeCell ref="B595:D595"/>
    <mergeCell ref="B547:D547"/>
    <mergeCell ref="E559:G559"/>
    <mergeCell ref="H559:J559"/>
    <mergeCell ref="K559:M559"/>
    <mergeCell ref="N559:P559"/>
    <mergeCell ref="Q559:S559"/>
    <mergeCell ref="T559:V559"/>
    <mergeCell ref="B559:D559"/>
    <mergeCell ref="E571:G571"/>
    <mergeCell ref="H571:J571"/>
    <mergeCell ref="K571:M571"/>
    <mergeCell ref="N571:P571"/>
    <mergeCell ref="Q571:S571"/>
    <mergeCell ref="T571:V571"/>
    <mergeCell ref="B571:D571"/>
    <mergeCell ref="E367:G367"/>
    <mergeCell ref="H367:J367"/>
    <mergeCell ref="K367:M367"/>
    <mergeCell ref="N367:P367"/>
    <mergeCell ref="Q367:S367"/>
    <mergeCell ref="T367:V367"/>
    <mergeCell ref="B367:D367"/>
    <mergeCell ref="E379:G379"/>
    <mergeCell ref="H379:J379"/>
    <mergeCell ref="K379:M379"/>
    <mergeCell ref="N379:P379"/>
    <mergeCell ref="Q379:S379"/>
    <mergeCell ref="T379:V379"/>
    <mergeCell ref="E343:G343"/>
    <mergeCell ref="H343:J343"/>
    <mergeCell ref="K343:M343"/>
    <mergeCell ref="N343:P343"/>
    <mergeCell ref="Q343:S343"/>
    <mergeCell ref="T343:V343"/>
    <mergeCell ref="B343:D343"/>
    <mergeCell ref="E355:G355"/>
    <mergeCell ref="H355:J355"/>
    <mergeCell ref="K355:M355"/>
    <mergeCell ref="N355:P355"/>
    <mergeCell ref="Q355:S355"/>
    <mergeCell ref="T355:V355"/>
    <mergeCell ref="B355:D355"/>
    <mergeCell ref="E319:G319"/>
    <mergeCell ref="H319:J319"/>
    <mergeCell ref="K319:M319"/>
    <mergeCell ref="N319:P319"/>
    <mergeCell ref="Q319:S319"/>
    <mergeCell ref="T319:V319"/>
    <mergeCell ref="B319:D319"/>
    <mergeCell ref="E331:G331"/>
    <mergeCell ref="H331:J331"/>
    <mergeCell ref="K331:M331"/>
    <mergeCell ref="N331:P331"/>
    <mergeCell ref="Q331:S331"/>
    <mergeCell ref="T331:V331"/>
    <mergeCell ref="B331:D331"/>
    <mergeCell ref="E295:G295"/>
    <mergeCell ref="H295:J295"/>
    <mergeCell ref="K295:M295"/>
    <mergeCell ref="N295:P295"/>
    <mergeCell ref="Q295:S295"/>
    <mergeCell ref="T295:V295"/>
    <mergeCell ref="B295:D295"/>
    <mergeCell ref="E307:G307"/>
    <mergeCell ref="H307:J307"/>
    <mergeCell ref="K307:M307"/>
    <mergeCell ref="N307:P307"/>
    <mergeCell ref="Q307:S307"/>
    <mergeCell ref="T307:V307"/>
    <mergeCell ref="B307:D307"/>
    <mergeCell ref="E271:G271"/>
    <mergeCell ref="H271:J271"/>
    <mergeCell ref="K271:M271"/>
    <mergeCell ref="N271:P271"/>
    <mergeCell ref="Q271:S271"/>
    <mergeCell ref="T271:V271"/>
    <mergeCell ref="B271:D271"/>
    <mergeCell ref="E283:G283"/>
    <mergeCell ref="H283:J283"/>
    <mergeCell ref="K283:M283"/>
    <mergeCell ref="N283:P283"/>
    <mergeCell ref="Q283:S283"/>
    <mergeCell ref="T283:V283"/>
    <mergeCell ref="B283:D283"/>
    <mergeCell ref="E247:G247"/>
    <mergeCell ref="H247:J247"/>
    <mergeCell ref="K247:M247"/>
    <mergeCell ref="N247:P247"/>
    <mergeCell ref="Q247:S247"/>
    <mergeCell ref="T247:V247"/>
    <mergeCell ref="B247:D247"/>
    <mergeCell ref="E259:G259"/>
    <mergeCell ref="H259:J259"/>
    <mergeCell ref="K259:M259"/>
    <mergeCell ref="N259:P259"/>
    <mergeCell ref="Q259:S259"/>
    <mergeCell ref="T259:V259"/>
    <mergeCell ref="B259:D259"/>
    <mergeCell ref="E223:G223"/>
    <mergeCell ref="H223:J223"/>
    <mergeCell ref="K223:M223"/>
    <mergeCell ref="N223:P223"/>
    <mergeCell ref="Q223:S223"/>
    <mergeCell ref="T223:V223"/>
    <mergeCell ref="B223:D223"/>
    <mergeCell ref="E235:G235"/>
    <mergeCell ref="H235:J235"/>
    <mergeCell ref="K235:M235"/>
    <mergeCell ref="N235:P235"/>
    <mergeCell ref="Q235:S235"/>
    <mergeCell ref="T235:V235"/>
    <mergeCell ref="B235:D235"/>
    <mergeCell ref="E199:G199"/>
    <mergeCell ref="H199:J199"/>
    <mergeCell ref="K199:M199"/>
    <mergeCell ref="N199:P199"/>
    <mergeCell ref="Q199:S199"/>
    <mergeCell ref="T199:V199"/>
    <mergeCell ref="B199:D199"/>
    <mergeCell ref="E211:G211"/>
    <mergeCell ref="H211:J211"/>
    <mergeCell ref="K211:M211"/>
    <mergeCell ref="N211:P211"/>
    <mergeCell ref="Q211:S211"/>
    <mergeCell ref="T211:V211"/>
    <mergeCell ref="B211:D211"/>
    <mergeCell ref="E175:G175"/>
    <mergeCell ref="H175:J175"/>
    <mergeCell ref="K175:M175"/>
    <mergeCell ref="N175:P175"/>
    <mergeCell ref="Q175:S175"/>
    <mergeCell ref="T175:V175"/>
    <mergeCell ref="B175:D175"/>
    <mergeCell ref="E187:G187"/>
    <mergeCell ref="H187:J187"/>
    <mergeCell ref="K187:M187"/>
    <mergeCell ref="N187:P187"/>
    <mergeCell ref="Q187:S187"/>
    <mergeCell ref="T187:V187"/>
    <mergeCell ref="B187:D187"/>
    <mergeCell ref="E151:G151"/>
    <mergeCell ref="H151:J151"/>
    <mergeCell ref="K151:M151"/>
    <mergeCell ref="N151:P151"/>
    <mergeCell ref="Q151:S151"/>
    <mergeCell ref="T151:V151"/>
    <mergeCell ref="B151:D151"/>
    <mergeCell ref="E163:G163"/>
    <mergeCell ref="H163:J163"/>
    <mergeCell ref="K163:M163"/>
    <mergeCell ref="N163:P163"/>
    <mergeCell ref="Q163:S163"/>
    <mergeCell ref="T163:V163"/>
    <mergeCell ref="B163:D163"/>
    <mergeCell ref="E127:G127"/>
    <mergeCell ref="H127:J127"/>
    <mergeCell ref="K127:M127"/>
    <mergeCell ref="N127:P127"/>
    <mergeCell ref="Q127:S127"/>
    <mergeCell ref="T127:V127"/>
    <mergeCell ref="B127:D127"/>
    <mergeCell ref="E139:G139"/>
    <mergeCell ref="H139:J139"/>
    <mergeCell ref="K139:M139"/>
    <mergeCell ref="N139:P139"/>
    <mergeCell ref="Q139:S139"/>
    <mergeCell ref="T139:V139"/>
    <mergeCell ref="B139:D139"/>
    <mergeCell ref="E103:G103"/>
    <mergeCell ref="H103:J103"/>
    <mergeCell ref="K103:M103"/>
    <mergeCell ref="N103:P103"/>
    <mergeCell ref="Q103:S103"/>
    <mergeCell ref="T103:V103"/>
    <mergeCell ref="B103:D103"/>
    <mergeCell ref="E115:G115"/>
    <mergeCell ref="H115:J115"/>
    <mergeCell ref="K115:M115"/>
    <mergeCell ref="N115:P115"/>
    <mergeCell ref="Q115:S115"/>
    <mergeCell ref="T115:V115"/>
    <mergeCell ref="B115:D115"/>
    <mergeCell ref="E79:G79"/>
    <mergeCell ref="H79:J79"/>
    <mergeCell ref="K79:M79"/>
    <mergeCell ref="N79:P79"/>
    <mergeCell ref="Q79:S79"/>
    <mergeCell ref="T79:V79"/>
    <mergeCell ref="B79:D79"/>
    <mergeCell ref="E91:G91"/>
    <mergeCell ref="H91:J91"/>
    <mergeCell ref="K91:M91"/>
    <mergeCell ref="N91:P91"/>
    <mergeCell ref="Q91:S91"/>
    <mergeCell ref="T91:V91"/>
    <mergeCell ref="B91:D91"/>
    <mergeCell ref="B45:D45"/>
    <mergeCell ref="E57:G57"/>
    <mergeCell ref="H57:J57"/>
    <mergeCell ref="K57:M57"/>
    <mergeCell ref="N57:P57"/>
    <mergeCell ref="Q57:S57"/>
    <mergeCell ref="T57:V57"/>
    <mergeCell ref="B57:D57"/>
    <mergeCell ref="E67:G67"/>
    <mergeCell ref="H67:J67"/>
    <mergeCell ref="K67:M67"/>
    <mergeCell ref="N67:P67"/>
    <mergeCell ref="Q67:S67"/>
    <mergeCell ref="T67:V67"/>
    <mergeCell ref="B67:D67"/>
    <mergeCell ref="E45:G45"/>
    <mergeCell ref="H45:J45"/>
    <mergeCell ref="K45:M45"/>
    <mergeCell ref="N45:P45"/>
    <mergeCell ref="Q45:S45"/>
    <mergeCell ref="T45:V45"/>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zoomScale="70" zoomScaleNormal="70" workbookViewId="0">
      <selection sqref="A1:W642"/>
    </sheetView>
  </sheetViews>
  <sheetFormatPr defaultColWidth="14.453125" defaultRowHeight="15" customHeight="1"/>
  <cols>
    <col min="1" max="1" width="18.0898437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3" ht="58.5" customHeight="1">
      <c r="A1" s="85"/>
      <c r="B1" s="73" t="s">
        <v>189</v>
      </c>
      <c r="C1" s="81"/>
      <c r="D1" s="81"/>
      <c r="E1" s="81"/>
      <c r="F1" s="81"/>
      <c r="G1" s="81"/>
      <c r="H1" s="81"/>
      <c r="I1" s="81"/>
      <c r="J1" s="81"/>
      <c r="K1" s="81"/>
      <c r="L1" s="81"/>
      <c r="M1" s="81"/>
      <c r="N1" s="81"/>
      <c r="O1" s="81"/>
      <c r="P1" s="81"/>
      <c r="Q1" s="81"/>
      <c r="R1" s="81"/>
      <c r="S1" s="81"/>
      <c r="T1" s="81"/>
      <c r="U1" s="81"/>
      <c r="V1" s="82"/>
      <c r="W1" s="84"/>
    </row>
    <row r="2" spans="1:23" ht="22.5" customHeight="1">
      <c r="A2" s="85"/>
      <c r="B2" s="78" t="s">
        <v>190</v>
      </c>
      <c r="C2" s="81"/>
      <c r="D2" s="82"/>
      <c r="E2" s="77">
        <f>DATE(
  VALUE(LEFT($B$2,4)),
  VALUE(MID($B$2,6,2)),
  VALUE(RIGHT($B$2,2))
)
+ INT((COLUMN()-COLUMN($B2))/3)</f>
        <v>47483</v>
      </c>
      <c r="F2" s="81"/>
      <c r="G2" s="82"/>
      <c r="H2" s="77">
        <f>DATE(
  VALUE(LEFT($B$2,4)),
  VALUE(MID($B$2,6,2)),
  VALUE(RIGHT($B$2,2))
)
+ INT((COLUMN()-COLUMN($B2))/3)</f>
        <v>47484</v>
      </c>
      <c r="I2" s="81"/>
      <c r="J2" s="82"/>
      <c r="K2" s="77">
        <f>DATE(
  VALUE(LEFT($B$2,4)),
  VALUE(MID($B$2,6,2)),
  VALUE(RIGHT($B$2,2))
)
+ INT((COLUMN()-COLUMN($B2))/3)</f>
        <v>47485</v>
      </c>
      <c r="L2" s="81"/>
      <c r="M2" s="82"/>
      <c r="N2" s="77">
        <f>DATE(
  VALUE(LEFT($B$2,4)),
  VALUE(MID($B$2,6,2)),
  VALUE(RIGHT($B$2,2))
)
+ INT((COLUMN()-COLUMN($B2))/3)</f>
        <v>47486</v>
      </c>
      <c r="O2" s="81"/>
      <c r="P2" s="82"/>
      <c r="Q2" s="77">
        <f>DATE(
  VALUE(LEFT($B$2,4)),
  VALUE(MID($B$2,6,2)),
  VALUE(RIGHT($B$2,2))
)
+ INT((COLUMN()-COLUMN($B2))/3)</f>
        <v>47487</v>
      </c>
      <c r="R2" s="81"/>
      <c r="S2" s="82"/>
      <c r="T2" s="77">
        <f>DATE(
  VALUE(LEFT($B$2,4)),
  VALUE(MID($B$2,6,2)),
  VALUE(RIGHT($B$2,2))
)
+ INT((COLUMN()-COLUMN($B2))/3)</f>
        <v>47488</v>
      </c>
      <c r="U2" s="81"/>
      <c r="V2" s="82"/>
      <c r="W2" s="86" t="s">
        <v>2</v>
      </c>
    </row>
    <row r="3" spans="1:23" ht="17.25" customHeight="1">
      <c r="A3" s="7" t="s">
        <v>21</v>
      </c>
      <c r="B3" s="8" t="s">
        <v>123</v>
      </c>
      <c r="C3" s="9" t="s">
        <v>124</v>
      </c>
      <c r="D3" s="10" t="s">
        <v>125</v>
      </c>
      <c r="E3" s="11" t="s">
        <v>123</v>
      </c>
      <c r="F3" s="12" t="s">
        <v>124</v>
      </c>
      <c r="G3" s="13" t="s">
        <v>125</v>
      </c>
      <c r="H3" s="11" t="s">
        <v>123</v>
      </c>
      <c r="I3" s="12" t="s">
        <v>124</v>
      </c>
      <c r="J3" s="13" t="s">
        <v>125</v>
      </c>
      <c r="K3" s="11" t="s">
        <v>123</v>
      </c>
      <c r="L3" s="12" t="s">
        <v>124</v>
      </c>
      <c r="M3" s="13" t="s">
        <v>125</v>
      </c>
      <c r="N3" s="11" t="s">
        <v>123</v>
      </c>
      <c r="O3" s="12" t="s">
        <v>124</v>
      </c>
      <c r="P3" s="13" t="s">
        <v>125</v>
      </c>
      <c r="Q3" s="11" t="s">
        <v>123</v>
      </c>
      <c r="R3" s="12" t="s">
        <v>124</v>
      </c>
      <c r="S3" s="13" t="s">
        <v>125</v>
      </c>
      <c r="T3" s="11" t="s">
        <v>123</v>
      </c>
      <c r="U3" s="12" t="s">
        <v>124</v>
      </c>
      <c r="V3" s="13" t="s">
        <v>125</v>
      </c>
      <c r="W3" s="90" t="s">
        <v>4</v>
      </c>
    </row>
    <row r="4" spans="1:23" ht="15" customHeight="1">
      <c r="A4" s="14" t="s">
        <v>126</v>
      </c>
      <c r="B4" s="117"/>
      <c r="C4" s="117"/>
      <c r="D4" s="15" t="s">
        <v>127</v>
      </c>
      <c r="E4" s="16" t="s">
        <v>128</v>
      </c>
      <c r="F4" s="111"/>
      <c r="G4" s="17">
        <f>SUM(D11+F4)</f>
        <v>1</v>
      </c>
      <c r="H4" s="117"/>
      <c r="I4" s="117"/>
      <c r="J4" s="15">
        <f>G11+I4</f>
        <v>1</v>
      </c>
      <c r="K4" s="112"/>
      <c r="L4" s="111"/>
      <c r="M4" s="18">
        <f>J11+L4</f>
        <v>1</v>
      </c>
      <c r="N4" s="118"/>
      <c r="O4" s="117"/>
      <c r="P4" s="15">
        <f>M11+O4</f>
        <v>1</v>
      </c>
      <c r="Q4" s="112"/>
      <c r="R4" s="111"/>
      <c r="S4" s="18">
        <f>P11+R4</f>
        <v>-724</v>
      </c>
      <c r="T4" s="118"/>
      <c r="U4" s="117"/>
      <c r="V4" s="15">
        <f>S11+U4</f>
        <v>-724</v>
      </c>
      <c r="W4" s="95"/>
    </row>
    <row r="5" spans="1:23" ht="15" customHeight="1">
      <c r="A5" s="91"/>
      <c r="B5" s="117"/>
      <c r="C5" s="117"/>
      <c r="D5" s="19" t="s">
        <v>129</v>
      </c>
      <c r="E5" s="16" t="s">
        <v>130</v>
      </c>
      <c r="F5" s="107"/>
      <c r="G5" s="17">
        <f t="shared" ref="G5:G11" si="0">SUM(G4+F5)</f>
        <v>1</v>
      </c>
      <c r="H5" s="117"/>
      <c r="I5" s="117"/>
      <c r="J5" s="19">
        <f t="shared" ref="J5:J11" si="1">J4+I5</f>
        <v>1</v>
      </c>
      <c r="K5" s="106"/>
      <c r="L5" s="107"/>
      <c r="M5" s="20">
        <f t="shared" ref="M5:M11" si="2">M4+L5</f>
        <v>1</v>
      </c>
      <c r="N5" s="21" t="s">
        <v>30</v>
      </c>
      <c r="O5" s="22">
        <v>-725</v>
      </c>
      <c r="P5" s="19">
        <f t="shared" ref="P5:P11" si="3">P4+O5</f>
        <v>-724</v>
      </c>
      <c r="Q5" s="106"/>
      <c r="R5" s="107"/>
      <c r="S5" s="23">
        <f t="shared" ref="S5:S11" si="4">S4+R5</f>
        <v>-724</v>
      </c>
      <c r="T5" s="118"/>
      <c r="U5" s="117"/>
      <c r="V5" s="19">
        <f t="shared" ref="V5:V11" si="5">V4+U5</f>
        <v>-724</v>
      </c>
      <c r="W5" s="96" t="s">
        <v>5</v>
      </c>
    </row>
    <row r="6" spans="1:23" ht="15" customHeight="1">
      <c r="A6" s="91"/>
      <c r="B6" s="24" t="s">
        <v>131</v>
      </c>
      <c r="C6" s="161"/>
      <c r="D6" s="25" t="s">
        <v>129</v>
      </c>
      <c r="E6" s="16" t="s">
        <v>132</v>
      </c>
      <c r="F6" s="107"/>
      <c r="G6" s="17">
        <f t="shared" si="0"/>
        <v>1</v>
      </c>
      <c r="H6" s="117"/>
      <c r="I6" s="117"/>
      <c r="J6" s="19">
        <f t="shared" si="1"/>
        <v>1</v>
      </c>
      <c r="K6" s="106"/>
      <c r="L6" s="107"/>
      <c r="M6" s="26">
        <f t="shared" si="2"/>
        <v>1</v>
      </c>
      <c r="N6" s="118"/>
      <c r="O6" s="117"/>
      <c r="P6" s="19">
        <f t="shared" si="3"/>
        <v>-724</v>
      </c>
      <c r="Q6" s="106"/>
      <c r="R6" s="107"/>
      <c r="S6" s="23">
        <f t="shared" si="4"/>
        <v>-724</v>
      </c>
      <c r="T6" s="118"/>
      <c r="U6" s="117"/>
      <c r="V6" s="19">
        <f t="shared" si="5"/>
        <v>-724</v>
      </c>
      <c r="W6" s="96" t="s">
        <v>6</v>
      </c>
    </row>
    <row r="7" spans="1:23" ht="15" customHeight="1">
      <c r="A7" s="91"/>
      <c r="B7" s="27" t="s">
        <v>125</v>
      </c>
      <c r="C7" s="161"/>
      <c r="D7" s="25">
        <v>1</v>
      </c>
      <c r="E7" s="106"/>
      <c r="F7" s="107"/>
      <c r="G7" s="17">
        <f t="shared" si="0"/>
        <v>1</v>
      </c>
      <c r="H7" s="117"/>
      <c r="I7" s="117"/>
      <c r="J7" s="19">
        <f t="shared" si="1"/>
        <v>1</v>
      </c>
      <c r="K7" s="106"/>
      <c r="L7" s="107"/>
      <c r="M7" s="26">
        <f t="shared" si="2"/>
        <v>1</v>
      </c>
      <c r="N7" s="118"/>
      <c r="O7" s="117"/>
      <c r="P7" s="19">
        <f t="shared" si="3"/>
        <v>-724</v>
      </c>
      <c r="Q7" s="106"/>
      <c r="R7" s="107"/>
      <c r="S7" s="23">
        <f t="shared" si="4"/>
        <v>-724</v>
      </c>
      <c r="T7" s="118"/>
      <c r="U7" s="117"/>
      <c r="V7" s="19">
        <f t="shared" si="5"/>
        <v>-724</v>
      </c>
      <c r="W7" s="96" t="s">
        <v>7</v>
      </c>
    </row>
    <row r="8" spans="1:23" ht="15" customHeight="1">
      <c r="A8" s="91"/>
      <c r="B8" s="118"/>
      <c r="C8" s="117"/>
      <c r="D8" s="19">
        <f t="shared" ref="D8:D11" si="6">D7+C8</f>
        <v>1</v>
      </c>
      <c r="E8" s="28" t="s">
        <v>133</v>
      </c>
      <c r="F8" s="107"/>
      <c r="G8" s="17">
        <f t="shared" si="0"/>
        <v>1</v>
      </c>
      <c r="H8" s="117"/>
      <c r="I8" s="117"/>
      <c r="J8" s="19">
        <f t="shared" si="1"/>
        <v>1</v>
      </c>
      <c r="K8" s="106"/>
      <c r="L8" s="107"/>
      <c r="M8" s="23">
        <f t="shared" si="2"/>
        <v>1</v>
      </c>
      <c r="N8" s="118"/>
      <c r="O8" s="117"/>
      <c r="P8" s="19">
        <f t="shared" si="3"/>
        <v>-724</v>
      </c>
      <c r="Q8" s="106"/>
      <c r="R8" s="107"/>
      <c r="S8" s="23">
        <f t="shared" si="4"/>
        <v>-724</v>
      </c>
      <c r="T8" s="118"/>
      <c r="U8" s="117"/>
      <c r="V8" s="19">
        <f t="shared" si="5"/>
        <v>-724</v>
      </c>
      <c r="W8" s="96" t="s">
        <v>8</v>
      </c>
    </row>
    <row r="9" spans="1:23" ht="15" customHeight="1">
      <c r="A9" s="91"/>
      <c r="B9" s="118"/>
      <c r="C9" s="117"/>
      <c r="D9" s="19">
        <f t="shared" si="6"/>
        <v>1</v>
      </c>
      <c r="E9" s="28" t="s">
        <v>134</v>
      </c>
      <c r="F9" s="107"/>
      <c r="G9" s="17">
        <f t="shared" si="0"/>
        <v>1</v>
      </c>
      <c r="H9" s="118"/>
      <c r="I9" s="117"/>
      <c r="J9" s="19">
        <f t="shared" si="1"/>
        <v>1</v>
      </c>
      <c r="K9" s="106"/>
      <c r="L9" s="107"/>
      <c r="M9" s="23">
        <f t="shared" si="2"/>
        <v>1</v>
      </c>
      <c r="N9" s="118"/>
      <c r="O9" s="117"/>
      <c r="P9" s="19">
        <f t="shared" si="3"/>
        <v>-724</v>
      </c>
      <c r="Q9" s="106"/>
      <c r="R9" s="107"/>
      <c r="S9" s="23">
        <f t="shared" si="4"/>
        <v>-724</v>
      </c>
      <c r="T9" s="118"/>
      <c r="U9" s="117"/>
      <c r="V9" s="19">
        <f t="shared" si="5"/>
        <v>-724</v>
      </c>
      <c r="W9" s="96" t="s">
        <v>9</v>
      </c>
    </row>
    <row r="10" spans="1:23" ht="15" customHeight="1">
      <c r="A10" s="91"/>
      <c r="B10" s="118"/>
      <c r="C10" s="117"/>
      <c r="D10" s="19">
        <f t="shared" si="6"/>
        <v>1</v>
      </c>
      <c r="E10" s="28" t="s">
        <v>135</v>
      </c>
      <c r="F10" s="107"/>
      <c r="G10" s="17">
        <f t="shared" si="0"/>
        <v>1</v>
      </c>
      <c r="H10" s="118"/>
      <c r="I10" s="117"/>
      <c r="J10" s="19">
        <f t="shared" si="1"/>
        <v>1</v>
      </c>
      <c r="K10" s="106"/>
      <c r="L10" s="107"/>
      <c r="M10" s="23">
        <f t="shared" si="2"/>
        <v>1</v>
      </c>
      <c r="N10" s="118"/>
      <c r="O10" s="117"/>
      <c r="P10" s="19">
        <f t="shared" si="3"/>
        <v>-724</v>
      </c>
      <c r="Q10" s="106"/>
      <c r="R10" s="107"/>
      <c r="S10" s="23">
        <f t="shared" si="4"/>
        <v>-724</v>
      </c>
      <c r="T10" s="118"/>
      <c r="U10" s="117"/>
      <c r="V10" s="19">
        <f t="shared" si="5"/>
        <v>-724</v>
      </c>
      <c r="W10" s="96" t="s">
        <v>10</v>
      </c>
    </row>
    <row r="11" spans="1:23" ht="15" customHeight="1">
      <c r="A11" s="91"/>
      <c r="B11" s="154"/>
      <c r="C11" s="128"/>
      <c r="D11" s="29">
        <f t="shared" si="6"/>
        <v>1</v>
      </c>
      <c r="E11" s="122"/>
      <c r="F11" s="123"/>
      <c r="G11" s="30">
        <f t="shared" si="0"/>
        <v>1</v>
      </c>
      <c r="H11" s="154"/>
      <c r="I11" s="128"/>
      <c r="J11" s="29">
        <f t="shared" si="1"/>
        <v>1</v>
      </c>
      <c r="K11" s="122"/>
      <c r="L11" s="123"/>
      <c r="M11" s="31">
        <f t="shared" si="2"/>
        <v>1</v>
      </c>
      <c r="N11" s="154"/>
      <c r="O11" s="128"/>
      <c r="P11" s="29">
        <f t="shared" si="3"/>
        <v>-724</v>
      </c>
      <c r="Q11" s="122"/>
      <c r="R11" s="123"/>
      <c r="S11" s="31">
        <f t="shared" si="4"/>
        <v>-724</v>
      </c>
      <c r="T11" s="154"/>
      <c r="U11" s="128"/>
      <c r="V11" s="29">
        <f t="shared" si="5"/>
        <v>-724</v>
      </c>
      <c r="W11" s="32" t="s">
        <v>11</v>
      </c>
    </row>
    <row r="12" spans="1:23" ht="21.75" customHeight="1">
      <c r="A12" s="162"/>
      <c r="B12" s="77">
        <f>DATE(
  VALUE(LEFT($B$2,4)),
  VALUE(MID($B$2,6,2)),
  VALUE(RIGHT($B$2,2))
) + 7</f>
        <v>47489</v>
      </c>
      <c r="C12" s="81"/>
      <c r="D12" s="82"/>
      <c r="E12" s="77">
        <f>DATE(VALUE(LEFT($B$2,4)),VALUE(MID($B$2,6,2)),VALUE(RIGHT($B$2,2)))
+ 7
+ INT((COLUMN()-COLUMN($B12))/3)</f>
        <v>47490</v>
      </c>
      <c r="F12" s="81"/>
      <c r="G12" s="82"/>
      <c r="H12" s="77">
        <f>DATE(VALUE(LEFT($B$2,4)),VALUE(MID($B$2,6,2)),VALUE(RIGHT($B$2,2)))
+ 7
+ INT((COLUMN()-COLUMN($B12))/3)</f>
        <v>47491</v>
      </c>
      <c r="I12" s="81"/>
      <c r="J12" s="82"/>
      <c r="K12" s="77">
        <f>DATE(VALUE(LEFT($B$2,4)),VALUE(MID($B$2,6,2)),VALUE(RIGHT($B$2,2)))
+ 7
+ INT((COLUMN()-COLUMN($B12))/3)</f>
        <v>47492</v>
      </c>
      <c r="L12" s="81"/>
      <c r="M12" s="82"/>
      <c r="N12" s="77">
        <f>DATE(VALUE(LEFT($B$2,4)),VALUE(MID($B$2,6,2)),VALUE(RIGHT($B$2,2)))
+ 7
+ INT((COLUMN()-COLUMN($B12))/3)</f>
        <v>47493</v>
      </c>
      <c r="O12" s="81"/>
      <c r="P12" s="82"/>
      <c r="Q12" s="77">
        <f>DATE(VALUE(LEFT($B$2,4)),VALUE(MID($B$2,6,2)),VALUE(RIGHT($B$2,2)))
+ 7
+ INT((COLUMN()-COLUMN($B12))/3)</f>
        <v>47494</v>
      </c>
      <c r="R12" s="81"/>
      <c r="S12" s="82"/>
      <c r="T12" s="77">
        <f>DATE(VALUE(LEFT($B$2,4)),VALUE(MID($B$2,6,2)),VALUE(RIGHT($B$2,2)))
+ 7
+ INT((COLUMN()-COLUMN($B12))/3)</f>
        <v>47495</v>
      </c>
      <c r="U12" s="81"/>
      <c r="V12" s="82"/>
      <c r="W12" s="33" t="s">
        <v>12</v>
      </c>
    </row>
    <row r="13" spans="1:23" ht="15" customHeight="1">
      <c r="A13" s="14" t="s">
        <v>136</v>
      </c>
      <c r="B13" s="34" t="s">
        <v>74</v>
      </c>
      <c r="C13" s="18">
        <v>-75</v>
      </c>
      <c r="D13" s="17">
        <f>V11+C13</f>
        <v>-799</v>
      </c>
      <c r="E13" s="109"/>
      <c r="F13" s="109"/>
      <c r="G13" s="35">
        <f>D22+F13</f>
        <v>-889</v>
      </c>
      <c r="H13" s="112"/>
      <c r="I13" s="111"/>
      <c r="J13" s="17">
        <f>G22+I13</f>
        <v>-889</v>
      </c>
      <c r="K13" s="113"/>
      <c r="L13" s="109"/>
      <c r="M13" s="35">
        <f>J22+L13</f>
        <v>-889</v>
      </c>
      <c r="N13" s="112"/>
      <c r="O13" s="111"/>
      <c r="P13" s="17">
        <f>M22+O13</f>
        <v>-889</v>
      </c>
      <c r="Q13" s="113"/>
      <c r="R13" s="109"/>
      <c r="S13" s="35">
        <f>P22+R13</f>
        <v>-889</v>
      </c>
      <c r="T13" s="112"/>
      <c r="U13" s="111"/>
      <c r="V13" s="36">
        <f>S22+U13</f>
        <v>-889</v>
      </c>
      <c r="W13" s="98" t="s">
        <v>13</v>
      </c>
    </row>
    <row r="14" spans="1:23" ht="15" customHeight="1">
      <c r="A14" s="91"/>
      <c r="B14" s="37" t="s">
        <v>76</v>
      </c>
      <c r="C14" s="23">
        <v>-25</v>
      </c>
      <c r="D14" s="26">
        <f t="shared" ref="D14:D22" si="7">D13+C14</f>
        <v>-824</v>
      </c>
      <c r="E14" s="117"/>
      <c r="F14" s="117"/>
      <c r="G14" s="38">
        <f t="shared" ref="G14:G22" si="8">G13+F14</f>
        <v>-889</v>
      </c>
      <c r="H14" s="106"/>
      <c r="I14" s="107"/>
      <c r="J14" s="26">
        <f t="shared" ref="J14:J22" si="9">J13+I14</f>
        <v>-889</v>
      </c>
      <c r="K14" s="118"/>
      <c r="L14" s="117"/>
      <c r="M14" s="38">
        <f t="shared" ref="M14:M22" si="10">M13+L14</f>
        <v>-889</v>
      </c>
      <c r="N14" s="106"/>
      <c r="O14" s="107"/>
      <c r="P14" s="26">
        <f t="shared" ref="P14:P22" si="11">P13+O14</f>
        <v>-889</v>
      </c>
      <c r="Q14" s="163"/>
      <c r="R14" s="164"/>
      <c r="S14" s="38">
        <f t="shared" ref="S14:S22" si="12">S13+R14</f>
        <v>-889</v>
      </c>
      <c r="T14" s="106"/>
      <c r="U14" s="107"/>
      <c r="V14" s="26">
        <f t="shared" ref="V14:V22" si="13">V13+U14</f>
        <v>-889</v>
      </c>
      <c r="W14" s="99"/>
    </row>
    <row r="15" spans="1:23" ht="15" customHeight="1">
      <c r="A15" s="91"/>
      <c r="B15" s="37" t="s">
        <v>79</v>
      </c>
      <c r="C15" s="23">
        <v>-65</v>
      </c>
      <c r="D15" s="26">
        <f t="shared" si="7"/>
        <v>-889</v>
      </c>
      <c r="E15" s="118"/>
      <c r="F15" s="117"/>
      <c r="G15" s="38">
        <f t="shared" si="8"/>
        <v>-889</v>
      </c>
      <c r="H15" s="106"/>
      <c r="I15" s="107"/>
      <c r="J15" s="26">
        <f t="shared" si="9"/>
        <v>-889</v>
      </c>
      <c r="K15" s="118"/>
      <c r="L15" s="117"/>
      <c r="M15" s="38">
        <f t="shared" si="10"/>
        <v>-889</v>
      </c>
      <c r="N15" s="106"/>
      <c r="O15" s="107"/>
      <c r="P15" s="26">
        <f t="shared" si="11"/>
        <v>-889</v>
      </c>
      <c r="Q15" s="163"/>
      <c r="R15" s="164"/>
      <c r="S15" s="38">
        <f t="shared" si="12"/>
        <v>-889</v>
      </c>
      <c r="T15" s="106"/>
      <c r="U15" s="107"/>
      <c r="V15" s="26">
        <f t="shared" si="13"/>
        <v>-889</v>
      </c>
      <c r="W15" s="100" t="s">
        <v>14</v>
      </c>
    </row>
    <row r="16" spans="1:23" ht="15" customHeight="1">
      <c r="A16" s="91"/>
      <c r="B16" s="106"/>
      <c r="C16" s="107"/>
      <c r="D16" s="26">
        <f t="shared" si="7"/>
        <v>-889</v>
      </c>
      <c r="E16" s="118"/>
      <c r="F16" s="117"/>
      <c r="G16" s="38">
        <f t="shared" si="8"/>
        <v>-889</v>
      </c>
      <c r="H16" s="106"/>
      <c r="I16" s="107"/>
      <c r="J16" s="26">
        <f t="shared" si="9"/>
        <v>-889</v>
      </c>
      <c r="K16" s="118"/>
      <c r="L16" s="117"/>
      <c r="M16" s="38">
        <f t="shared" si="10"/>
        <v>-889</v>
      </c>
      <c r="N16" s="106"/>
      <c r="O16" s="107"/>
      <c r="P16" s="26">
        <f t="shared" si="11"/>
        <v>-889</v>
      </c>
      <c r="Q16" s="163"/>
      <c r="R16" s="164"/>
      <c r="S16" s="38">
        <f t="shared" si="12"/>
        <v>-889</v>
      </c>
      <c r="T16" s="106"/>
      <c r="U16" s="107"/>
      <c r="V16" s="26">
        <f t="shared" si="13"/>
        <v>-889</v>
      </c>
      <c r="W16" s="101" t="s">
        <v>15</v>
      </c>
    </row>
    <row r="17" spans="1:23" ht="15" customHeight="1">
      <c r="A17" s="91"/>
      <c r="B17" s="106"/>
      <c r="C17" s="107"/>
      <c r="D17" s="26">
        <f t="shared" si="7"/>
        <v>-889</v>
      </c>
      <c r="E17" s="118"/>
      <c r="F17" s="117"/>
      <c r="G17" s="38">
        <f t="shared" si="8"/>
        <v>-889</v>
      </c>
      <c r="H17" s="106"/>
      <c r="I17" s="107"/>
      <c r="J17" s="26">
        <f t="shared" si="9"/>
        <v>-889</v>
      </c>
      <c r="K17" s="118"/>
      <c r="L17" s="117"/>
      <c r="M17" s="38">
        <f t="shared" si="10"/>
        <v>-889</v>
      </c>
      <c r="N17" s="106"/>
      <c r="O17" s="107"/>
      <c r="P17" s="26">
        <f t="shared" si="11"/>
        <v>-889</v>
      </c>
      <c r="Q17" s="163"/>
      <c r="R17" s="164"/>
      <c r="S17" s="38">
        <f t="shared" si="12"/>
        <v>-889</v>
      </c>
      <c r="T17" s="106"/>
      <c r="U17" s="107"/>
      <c r="V17" s="26">
        <f t="shared" si="13"/>
        <v>-889</v>
      </c>
      <c r="W17" s="101" t="s">
        <v>16</v>
      </c>
    </row>
    <row r="18" spans="1:23" ht="15" customHeight="1">
      <c r="A18" s="91"/>
      <c r="B18" s="106"/>
      <c r="C18" s="107"/>
      <c r="D18" s="26">
        <f t="shared" si="7"/>
        <v>-889</v>
      </c>
      <c r="E18" s="118"/>
      <c r="F18" s="117"/>
      <c r="G18" s="38">
        <f t="shared" si="8"/>
        <v>-889</v>
      </c>
      <c r="H18" s="106"/>
      <c r="I18" s="107"/>
      <c r="J18" s="26">
        <f t="shared" si="9"/>
        <v>-889</v>
      </c>
      <c r="K18" s="118"/>
      <c r="L18" s="117"/>
      <c r="M18" s="38">
        <f t="shared" si="10"/>
        <v>-889</v>
      </c>
      <c r="N18" s="106"/>
      <c r="O18" s="107"/>
      <c r="P18" s="26">
        <f t="shared" si="11"/>
        <v>-889</v>
      </c>
      <c r="Q18" s="163"/>
      <c r="R18" s="164"/>
      <c r="S18" s="38">
        <f t="shared" si="12"/>
        <v>-889</v>
      </c>
      <c r="T18" s="106"/>
      <c r="U18" s="107"/>
      <c r="V18" s="26">
        <f t="shared" si="13"/>
        <v>-889</v>
      </c>
      <c r="W18" s="101" t="s">
        <v>17</v>
      </c>
    </row>
    <row r="19" spans="1:23" ht="15" customHeight="1">
      <c r="A19" s="91"/>
      <c r="B19" s="106"/>
      <c r="C19" s="107"/>
      <c r="D19" s="26">
        <f t="shared" si="7"/>
        <v>-889</v>
      </c>
      <c r="E19" s="118"/>
      <c r="F19" s="117"/>
      <c r="G19" s="38">
        <f t="shared" si="8"/>
        <v>-889</v>
      </c>
      <c r="H19" s="106"/>
      <c r="I19" s="107"/>
      <c r="J19" s="26">
        <f t="shared" si="9"/>
        <v>-889</v>
      </c>
      <c r="K19" s="118"/>
      <c r="L19" s="117"/>
      <c r="M19" s="38">
        <f t="shared" si="10"/>
        <v>-889</v>
      </c>
      <c r="N19" s="106"/>
      <c r="O19" s="107"/>
      <c r="P19" s="26">
        <f t="shared" si="11"/>
        <v>-889</v>
      </c>
      <c r="Q19" s="163"/>
      <c r="R19" s="164"/>
      <c r="S19" s="38">
        <f t="shared" si="12"/>
        <v>-889</v>
      </c>
      <c r="T19" s="106"/>
      <c r="U19" s="107"/>
      <c r="V19" s="26">
        <f t="shared" si="13"/>
        <v>-889</v>
      </c>
      <c r="W19" s="99"/>
    </row>
    <row r="20" spans="1:23" ht="15" customHeight="1">
      <c r="A20" s="91"/>
      <c r="B20" s="106"/>
      <c r="C20" s="107"/>
      <c r="D20" s="26">
        <f t="shared" si="7"/>
        <v>-889</v>
      </c>
      <c r="E20" s="165"/>
      <c r="F20" s="117"/>
      <c r="G20" s="38">
        <f t="shared" si="8"/>
        <v>-889</v>
      </c>
      <c r="H20" s="106"/>
      <c r="I20" s="107"/>
      <c r="J20" s="26">
        <f t="shared" si="9"/>
        <v>-889</v>
      </c>
      <c r="K20" s="118"/>
      <c r="L20" s="117"/>
      <c r="M20" s="38">
        <f t="shared" si="10"/>
        <v>-889</v>
      </c>
      <c r="N20" s="106"/>
      <c r="O20" s="107"/>
      <c r="P20" s="26">
        <f t="shared" si="11"/>
        <v>-889</v>
      </c>
      <c r="Q20" s="118"/>
      <c r="R20" s="117"/>
      <c r="S20" s="38">
        <f t="shared" si="12"/>
        <v>-889</v>
      </c>
      <c r="T20" s="106"/>
      <c r="U20" s="107"/>
      <c r="V20" s="26">
        <f t="shared" si="13"/>
        <v>-889</v>
      </c>
      <c r="W20" s="100" t="s">
        <v>18</v>
      </c>
    </row>
    <row r="21" spans="1:23" ht="15" customHeight="1">
      <c r="A21" s="91"/>
      <c r="B21" s="106"/>
      <c r="C21" s="107"/>
      <c r="D21" s="26">
        <f t="shared" si="7"/>
        <v>-889</v>
      </c>
      <c r="E21" s="118"/>
      <c r="F21" s="117"/>
      <c r="G21" s="38">
        <f t="shared" si="8"/>
        <v>-889</v>
      </c>
      <c r="H21" s="106"/>
      <c r="I21" s="107"/>
      <c r="J21" s="26">
        <f t="shared" si="9"/>
        <v>-889</v>
      </c>
      <c r="K21" s="118"/>
      <c r="L21" s="117"/>
      <c r="M21" s="38">
        <f t="shared" si="10"/>
        <v>-889</v>
      </c>
      <c r="N21" s="106"/>
      <c r="O21" s="107"/>
      <c r="P21" s="26">
        <f t="shared" si="11"/>
        <v>-889</v>
      </c>
      <c r="Q21" s="118"/>
      <c r="R21" s="117"/>
      <c r="S21" s="38">
        <f t="shared" si="12"/>
        <v>-889</v>
      </c>
      <c r="T21" s="106"/>
      <c r="U21" s="107"/>
      <c r="V21" s="26">
        <f t="shared" si="13"/>
        <v>-889</v>
      </c>
      <c r="W21" s="101" t="s">
        <v>19</v>
      </c>
    </row>
    <row r="22" spans="1:23" ht="15" customHeight="1">
      <c r="A22" s="91"/>
      <c r="B22" s="166"/>
      <c r="C22" s="167"/>
      <c r="D22" s="39">
        <f t="shared" si="7"/>
        <v>-889</v>
      </c>
      <c r="E22" s="154"/>
      <c r="F22" s="128"/>
      <c r="G22" s="40">
        <f t="shared" si="8"/>
        <v>-889</v>
      </c>
      <c r="H22" s="122"/>
      <c r="I22" s="123"/>
      <c r="J22" s="39">
        <f t="shared" si="9"/>
        <v>-889</v>
      </c>
      <c r="K22" s="154"/>
      <c r="L22" s="128"/>
      <c r="M22" s="40">
        <f t="shared" si="10"/>
        <v>-889</v>
      </c>
      <c r="N22" s="122"/>
      <c r="O22" s="123"/>
      <c r="P22" s="39">
        <f t="shared" si="11"/>
        <v>-889</v>
      </c>
      <c r="Q22" s="154"/>
      <c r="R22" s="128"/>
      <c r="S22" s="40">
        <f t="shared" si="12"/>
        <v>-889</v>
      </c>
      <c r="T22" s="122"/>
      <c r="U22" s="123"/>
      <c r="V22" s="39">
        <f t="shared" si="13"/>
        <v>-889</v>
      </c>
      <c r="W22" s="99"/>
    </row>
    <row r="23" spans="1:23" ht="17.25" customHeight="1">
      <c r="A23" s="162"/>
      <c r="B23" s="77">
        <f ca="1">IFERROR(__xludf.DUMMYFUNCTION("DATE(VALUE(LEFT($B$2,4)),VALUE(MID($B$2,6,2)),VALUE(RIGHT($B$2,2)))
+ (VALUE(REGEXEXTRACT(INDIRECT(""A""&amp;ROW()+1),""\d+""))-1)*7
+ INT((COLUMN()-COLUMN($B23))/3)
"),47496)</f>
        <v>47496</v>
      </c>
      <c r="C23" s="81"/>
      <c r="D23" s="82"/>
      <c r="E23" s="77">
        <f ca="1">IFERROR(__xludf.DUMMYFUNCTION("DATE(VALUE(LEFT($B$2,4)),VALUE(MID($B$2,6,2)),VALUE(RIGHT($B$2,2)))
+ (VALUE(REGEXEXTRACT(INDIRECT(""A""&amp;ROW()+1),""\d+""))-1)*7
+ INT((COLUMN()-COLUMN($B23))/3)
"),47497)</f>
        <v>47497</v>
      </c>
      <c r="F23" s="81"/>
      <c r="G23" s="82"/>
      <c r="H23" s="77">
        <f ca="1">IFERROR(__xludf.DUMMYFUNCTION("DATE(VALUE(LEFT($B$2,4)),VALUE(MID($B$2,6,2)),VALUE(RIGHT($B$2,2)))
+ (VALUE(REGEXEXTRACT(INDIRECT(""A""&amp;ROW()+1),""\d+""))-1)*7
+ INT((COLUMN()-COLUMN($B23))/3)
"),47498)</f>
        <v>47498</v>
      </c>
      <c r="I23" s="81"/>
      <c r="J23" s="82"/>
      <c r="K23" s="77">
        <f ca="1">IFERROR(__xludf.DUMMYFUNCTION("DATE(VALUE(LEFT($B$2,4)),VALUE(MID($B$2,6,2)),VALUE(RIGHT($B$2,2)))
+ (VALUE(REGEXEXTRACT(INDIRECT(""A""&amp;ROW()+1),""\d+""))-1)*7
+ INT((COLUMN()-COLUMN($B23))/3)
"),47499)</f>
        <v>47499</v>
      </c>
      <c r="L23" s="81"/>
      <c r="M23" s="82"/>
      <c r="N23" s="77">
        <f ca="1">IFERROR(__xludf.DUMMYFUNCTION("DATE(VALUE(LEFT($B$2,4)),VALUE(MID($B$2,6,2)),VALUE(RIGHT($B$2,2)))
+ (VALUE(REGEXEXTRACT(INDIRECT(""A""&amp;ROW()+1),""\d+""))-1)*7
+ INT((COLUMN()-COLUMN($B23))/3)
"),47500)</f>
        <v>47500</v>
      </c>
      <c r="O23" s="81"/>
      <c r="P23" s="82"/>
      <c r="Q23" s="77">
        <f ca="1">IFERROR(__xludf.DUMMYFUNCTION("DATE(VALUE(LEFT($B$2,4)),VALUE(MID($B$2,6,2)),VALUE(RIGHT($B$2,2)))
+ (VALUE(REGEXEXTRACT(INDIRECT(""A""&amp;ROW()+1),""\d+""))-1)*7
+ INT((COLUMN()-COLUMN($B23))/3)
"),47501)</f>
        <v>47501</v>
      </c>
      <c r="R23" s="81"/>
      <c r="S23" s="82"/>
      <c r="T23" s="77">
        <f ca="1">IFERROR(__xludf.DUMMYFUNCTION("DATE(VALUE(LEFT($B$2,4)),VALUE(MID($B$2,6,2)),VALUE(RIGHT($B$2,2)))
+ (VALUE(REGEXEXTRACT(INDIRECT(""A""&amp;ROW()+1),""\d+""))-1)*7
+ INT((COLUMN()-COLUMN($B23))/3)
"),47502)</f>
        <v>47502</v>
      </c>
      <c r="U23" s="81"/>
      <c r="V23" s="82"/>
      <c r="W23" s="41" t="s">
        <v>20</v>
      </c>
    </row>
    <row r="24" spans="1:23" ht="15" customHeight="1">
      <c r="A24" s="14" t="s">
        <v>137</v>
      </c>
      <c r="B24" s="35" t="s">
        <v>74</v>
      </c>
      <c r="C24" s="35">
        <v>-75</v>
      </c>
      <c r="D24" s="42">
        <f>V22+C24</f>
        <v>-964</v>
      </c>
      <c r="E24" s="112"/>
      <c r="F24" s="111"/>
      <c r="G24" s="18">
        <f>D33+F24</f>
        <v>-1129</v>
      </c>
      <c r="H24" s="113"/>
      <c r="I24" s="109"/>
      <c r="J24" s="42">
        <f>G33+I24</f>
        <v>-1129</v>
      </c>
      <c r="K24" s="112"/>
      <c r="L24" s="111"/>
      <c r="M24" s="18">
        <f>J33+L24</f>
        <v>-1129</v>
      </c>
      <c r="N24" s="113"/>
      <c r="O24" s="109"/>
      <c r="P24" s="35">
        <f>M33+O24</f>
        <v>-1129</v>
      </c>
      <c r="Q24" s="112"/>
      <c r="R24" s="111"/>
      <c r="S24" s="18">
        <f>P33+F128</f>
        <v>-1129</v>
      </c>
      <c r="T24" s="113"/>
      <c r="U24" s="109"/>
      <c r="V24" s="42">
        <f>S33+U24</f>
        <v>-1129</v>
      </c>
      <c r="W24" s="43">
        <v>500</v>
      </c>
    </row>
    <row r="25" spans="1:23" ht="15" customHeight="1">
      <c r="A25" s="91"/>
      <c r="B25" s="38" t="s">
        <v>76</v>
      </c>
      <c r="C25" s="38">
        <v>-25</v>
      </c>
      <c r="D25" s="19">
        <f t="shared" ref="D25:D33" si="14">D24+C25</f>
        <v>-989</v>
      </c>
      <c r="E25" s="106"/>
      <c r="F25" s="107"/>
      <c r="G25" s="23">
        <f t="shared" ref="G25:G33" si="15">G24+F25</f>
        <v>-1129</v>
      </c>
      <c r="H25" s="118"/>
      <c r="I25" s="117"/>
      <c r="J25" s="19">
        <f t="shared" ref="J25:J33" si="16">J24+I25</f>
        <v>-1129</v>
      </c>
      <c r="K25" s="106"/>
      <c r="L25" s="107"/>
      <c r="M25" s="26">
        <f t="shared" ref="M25:M33" si="17">M24+L25</f>
        <v>-1129</v>
      </c>
      <c r="N25" s="118"/>
      <c r="O25" s="117"/>
      <c r="P25" s="38">
        <f t="shared" ref="P25:P33" si="18">P24+O25</f>
        <v>-1129</v>
      </c>
      <c r="Q25" s="106"/>
      <c r="R25" s="107"/>
      <c r="S25" s="26">
        <f t="shared" ref="S25:S33" si="19">S24+R25</f>
        <v>-1129</v>
      </c>
      <c r="T25" s="118"/>
      <c r="U25" s="117"/>
      <c r="V25" s="19">
        <f t="shared" ref="V25:V33" si="20">V24+U25</f>
        <v>-1129</v>
      </c>
      <c r="W25" s="95"/>
    </row>
    <row r="26" spans="1:23" ht="15" customHeight="1">
      <c r="A26" s="91"/>
      <c r="B26" s="38" t="s">
        <v>90</v>
      </c>
      <c r="C26" s="38">
        <v>-65</v>
      </c>
      <c r="D26" s="19">
        <f t="shared" si="14"/>
        <v>-1054</v>
      </c>
      <c r="E26" s="106"/>
      <c r="F26" s="107"/>
      <c r="G26" s="23">
        <f t="shared" si="15"/>
        <v>-1129</v>
      </c>
      <c r="H26" s="118"/>
      <c r="I26" s="117"/>
      <c r="J26" s="19">
        <f t="shared" si="16"/>
        <v>-1129</v>
      </c>
      <c r="K26" s="106"/>
      <c r="L26" s="107"/>
      <c r="M26" s="26">
        <f t="shared" si="17"/>
        <v>-1129</v>
      </c>
      <c r="N26" s="118"/>
      <c r="O26" s="117"/>
      <c r="P26" s="19">
        <f t="shared" si="18"/>
        <v>-1129</v>
      </c>
      <c r="Q26" s="106"/>
      <c r="R26" s="107"/>
      <c r="S26" s="26">
        <f t="shared" si="19"/>
        <v>-1129</v>
      </c>
      <c r="T26" s="118"/>
      <c r="U26" s="117"/>
      <c r="V26" s="19">
        <f t="shared" si="20"/>
        <v>-1129</v>
      </c>
      <c r="W26" s="95"/>
    </row>
    <row r="27" spans="1:23" ht="15" customHeight="1">
      <c r="A27" s="91"/>
      <c r="B27" s="44" t="s">
        <v>138</v>
      </c>
      <c r="C27" s="38">
        <v>-75</v>
      </c>
      <c r="D27" s="19">
        <f t="shared" si="14"/>
        <v>-1129</v>
      </c>
      <c r="E27" s="106"/>
      <c r="F27" s="107"/>
      <c r="G27" s="23">
        <f t="shared" si="15"/>
        <v>-1129</v>
      </c>
      <c r="H27" s="118"/>
      <c r="I27" s="117"/>
      <c r="J27" s="19">
        <f t="shared" si="16"/>
        <v>-1129</v>
      </c>
      <c r="K27" s="106"/>
      <c r="L27" s="107"/>
      <c r="M27" s="26">
        <f t="shared" si="17"/>
        <v>-1129</v>
      </c>
      <c r="N27" s="118"/>
      <c r="O27" s="117"/>
      <c r="P27" s="38">
        <f t="shared" si="18"/>
        <v>-1129</v>
      </c>
      <c r="Q27" s="106"/>
      <c r="R27" s="107"/>
      <c r="S27" s="26">
        <f t="shared" si="19"/>
        <v>-1129</v>
      </c>
      <c r="T27" s="118"/>
      <c r="U27" s="117"/>
      <c r="V27" s="19">
        <f t="shared" si="20"/>
        <v>-1129</v>
      </c>
      <c r="W27" s="95"/>
    </row>
    <row r="28" spans="1:23" ht="15" customHeight="1">
      <c r="A28" s="91"/>
      <c r="B28" s="117"/>
      <c r="C28" s="117"/>
      <c r="D28" s="19">
        <f t="shared" si="14"/>
        <v>-1129</v>
      </c>
      <c r="E28" s="106"/>
      <c r="F28" s="107"/>
      <c r="G28" s="23">
        <f t="shared" si="15"/>
        <v>-1129</v>
      </c>
      <c r="H28" s="118"/>
      <c r="I28" s="117"/>
      <c r="J28" s="19">
        <f t="shared" si="16"/>
        <v>-1129</v>
      </c>
      <c r="K28" s="106"/>
      <c r="L28" s="107"/>
      <c r="M28" s="26">
        <f t="shared" si="17"/>
        <v>-1129</v>
      </c>
      <c r="N28" s="118"/>
      <c r="O28" s="117"/>
      <c r="P28" s="38">
        <f t="shared" si="18"/>
        <v>-1129</v>
      </c>
      <c r="Q28" s="106"/>
      <c r="R28" s="107"/>
      <c r="S28" s="26">
        <f t="shared" si="19"/>
        <v>-1129</v>
      </c>
      <c r="T28" s="118"/>
      <c r="U28" s="117"/>
      <c r="V28" s="45">
        <f t="shared" si="20"/>
        <v>-1129</v>
      </c>
      <c r="W28" s="143"/>
    </row>
    <row r="29" spans="1:23" ht="15" customHeight="1">
      <c r="A29" s="91"/>
      <c r="B29" s="118"/>
      <c r="C29" s="117"/>
      <c r="D29" s="19">
        <f t="shared" si="14"/>
        <v>-1129</v>
      </c>
      <c r="E29" s="106"/>
      <c r="F29" s="107"/>
      <c r="G29" s="23">
        <f t="shared" si="15"/>
        <v>-1129</v>
      </c>
      <c r="H29" s="118"/>
      <c r="I29" s="117"/>
      <c r="J29" s="19">
        <f t="shared" si="16"/>
        <v>-1129</v>
      </c>
      <c r="K29" s="106"/>
      <c r="L29" s="107"/>
      <c r="M29" s="26">
        <f t="shared" si="17"/>
        <v>-1129</v>
      </c>
      <c r="N29" s="118"/>
      <c r="O29" s="117"/>
      <c r="P29" s="38">
        <f t="shared" si="18"/>
        <v>-1129</v>
      </c>
      <c r="Q29" s="106"/>
      <c r="R29" s="107"/>
      <c r="S29" s="26">
        <f t="shared" si="19"/>
        <v>-1129</v>
      </c>
      <c r="T29" s="118"/>
      <c r="U29" s="117"/>
      <c r="V29" s="45">
        <f t="shared" si="20"/>
        <v>-1129</v>
      </c>
      <c r="W29" s="143"/>
    </row>
    <row r="30" spans="1:23" ht="15" customHeight="1">
      <c r="A30" s="91"/>
      <c r="B30" s="118"/>
      <c r="C30" s="117"/>
      <c r="D30" s="19">
        <f t="shared" si="14"/>
        <v>-1129</v>
      </c>
      <c r="E30" s="112"/>
      <c r="F30" s="107"/>
      <c r="G30" s="23">
        <f t="shared" si="15"/>
        <v>-1129</v>
      </c>
      <c r="H30" s="118"/>
      <c r="I30" s="117"/>
      <c r="J30" s="19">
        <f t="shared" si="16"/>
        <v>-1129</v>
      </c>
      <c r="K30" s="106"/>
      <c r="L30" s="107"/>
      <c r="M30" s="26">
        <f t="shared" si="17"/>
        <v>-1129</v>
      </c>
      <c r="N30" s="118"/>
      <c r="O30" s="117"/>
      <c r="P30" s="38">
        <f t="shared" si="18"/>
        <v>-1129</v>
      </c>
      <c r="Q30" s="106"/>
      <c r="R30" s="107"/>
      <c r="S30" s="26">
        <f t="shared" si="19"/>
        <v>-1129</v>
      </c>
      <c r="T30" s="118"/>
      <c r="U30" s="117"/>
      <c r="V30" s="45">
        <f t="shared" si="20"/>
        <v>-1129</v>
      </c>
      <c r="W30" s="143"/>
    </row>
    <row r="31" spans="1:23" ht="15" customHeight="1">
      <c r="A31" s="91"/>
      <c r="B31" s="118"/>
      <c r="C31" s="117"/>
      <c r="D31" s="19">
        <f t="shared" si="14"/>
        <v>-1129</v>
      </c>
      <c r="E31" s="112"/>
      <c r="F31" s="107"/>
      <c r="G31" s="23">
        <f t="shared" si="15"/>
        <v>-1129</v>
      </c>
      <c r="H31" s="118"/>
      <c r="I31" s="117"/>
      <c r="J31" s="19">
        <f t="shared" si="16"/>
        <v>-1129</v>
      </c>
      <c r="K31" s="106"/>
      <c r="L31" s="107"/>
      <c r="M31" s="26">
        <f t="shared" si="17"/>
        <v>-1129</v>
      </c>
      <c r="N31" s="118"/>
      <c r="O31" s="117"/>
      <c r="P31" s="38">
        <f t="shared" si="18"/>
        <v>-1129</v>
      </c>
      <c r="Q31" s="106"/>
      <c r="R31" s="107"/>
      <c r="S31" s="26">
        <f t="shared" si="19"/>
        <v>-1129</v>
      </c>
      <c r="T31" s="118"/>
      <c r="U31" s="117"/>
      <c r="V31" s="45">
        <f t="shared" si="20"/>
        <v>-1129</v>
      </c>
      <c r="W31" s="143"/>
    </row>
    <row r="32" spans="1:23" ht="15" customHeight="1">
      <c r="A32" s="91"/>
      <c r="B32" s="118"/>
      <c r="C32" s="117"/>
      <c r="D32" s="19">
        <f t="shared" si="14"/>
        <v>-1129</v>
      </c>
      <c r="E32" s="112"/>
      <c r="F32" s="107"/>
      <c r="G32" s="23">
        <f t="shared" si="15"/>
        <v>-1129</v>
      </c>
      <c r="H32" s="118"/>
      <c r="I32" s="117"/>
      <c r="J32" s="19">
        <f t="shared" si="16"/>
        <v>-1129</v>
      </c>
      <c r="K32" s="106"/>
      <c r="L32" s="107"/>
      <c r="M32" s="26">
        <f t="shared" si="17"/>
        <v>-1129</v>
      </c>
      <c r="N32" s="118"/>
      <c r="O32" s="117"/>
      <c r="P32" s="38">
        <f t="shared" si="18"/>
        <v>-1129</v>
      </c>
      <c r="Q32" s="106"/>
      <c r="R32" s="107"/>
      <c r="S32" s="26">
        <f t="shared" si="19"/>
        <v>-1129</v>
      </c>
      <c r="T32" s="118"/>
      <c r="U32" s="117"/>
      <c r="V32" s="45">
        <f t="shared" si="20"/>
        <v>-1129</v>
      </c>
      <c r="W32" s="143"/>
    </row>
    <row r="33" spans="1:23" ht="15" customHeight="1">
      <c r="A33" s="91"/>
      <c r="B33" s="154"/>
      <c r="C33" s="128"/>
      <c r="D33" s="29">
        <f t="shared" si="14"/>
        <v>-1129</v>
      </c>
      <c r="E33" s="122"/>
      <c r="F33" s="123"/>
      <c r="G33" s="31">
        <f t="shared" si="15"/>
        <v>-1129</v>
      </c>
      <c r="H33" s="154"/>
      <c r="I33" s="128"/>
      <c r="J33" s="29">
        <f t="shared" si="16"/>
        <v>-1129</v>
      </c>
      <c r="K33" s="122"/>
      <c r="L33" s="123"/>
      <c r="M33" s="39">
        <f t="shared" si="17"/>
        <v>-1129</v>
      </c>
      <c r="N33" s="154"/>
      <c r="O33" s="128"/>
      <c r="P33" s="40">
        <f t="shared" si="18"/>
        <v>-1129</v>
      </c>
      <c r="Q33" s="122"/>
      <c r="R33" s="123"/>
      <c r="S33" s="39">
        <f t="shared" si="19"/>
        <v>-1129</v>
      </c>
      <c r="T33" s="154"/>
      <c r="U33" s="128"/>
      <c r="V33" s="46">
        <f t="shared" si="20"/>
        <v>-1129</v>
      </c>
      <c r="W33" s="143"/>
    </row>
    <row r="34" spans="1:23" ht="17.25" customHeight="1">
      <c r="A34" s="162"/>
      <c r="B34" s="77">
        <f ca="1">IFERROR(__xludf.DUMMYFUNCTION("DATE(VALUE(LEFT($B$2,4)),VALUE(MID($B$2,6,2)),VALUE(RIGHT($B$2,2)))
+ (VALUE(REGEXEXTRACT(INDIRECT(""A""&amp;ROW()+1),""\d+""))-1)*7
+ INT((COLUMN()-COLUMN($B34))/3)
"),47503)</f>
        <v>47503</v>
      </c>
      <c r="C34" s="81"/>
      <c r="D34" s="82"/>
      <c r="E34" s="77">
        <f ca="1">IFERROR(__xludf.DUMMYFUNCTION("DATE(VALUE(LEFT($B$2,4)),VALUE(MID($B$2,6,2)),VALUE(RIGHT($B$2,2)))
+ (VALUE(REGEXEXTRACT(INDIRECT(""A""&amp;ROW()+1),""\d+""))-1)*7
+ INT((COLUMN()-COLUMN($B34))/3)
"),47504)</f>
        <v>47504</v>
      </c>
      <c r="F34" s="81"/>
      <c r="G34" s="82"/>
      <c r="H34" s="77">
        <f ca="1">IFERROR(__xludf.DUMMYFUNCTION("DATE(VALUE(LEFT($B$2,4)),VALUE(MID($B$2,6,2)),VALUE(RIGHT($B$2,2)))
+ (VALUE(REGEXEXTRACT(INDIRECT(""A""&amp;ROW()+1),""\d+""))-1)*7
+ INT((COLUMN()-COLUMN($B34))/3)
"),47505)</f>
        <v>47505</v>
      </c>
      <c r="I34" s="81"/>
      <c r="J34" s="82"/>
      <c r="K34" s="77">
        <f ca="1">IFERROR(__xludf.DUMMYFUNCTION("DATE(VALUE(LEFT($B$2,4)),VALUE(MID($B$2,6,2)),VALUE(RIGHT($B$2,2)))
+ (VALUE(REGEXEXTRACT(INDIRECT(""A""&amp;ROW()+1),""\d+""))-1)*7
+ INT((COLUMN()-COLUMN($B34))/3)
"),47506)</f>
        <v>47506</v>
      </c>
      <c r="L34" s="81"/>
      <c r="M34" s="82"/>
      <c r="N34" s="77">
        <f ca="1">IFERROR(__xludf.DUMMYFUNCTION("DATE(VALUE(LEFT($B$2,4)),VALUE(MID($B$2,6,2)),VALUE(RIGHT($B$2,2)))
+ (VALUE(REGEXEXTRACT(INDIRECT(""A""&amp;ROW()+1),""\d+""))-1)*7
+ INT((COLUMN()-COLUMN($B34))/3)
"),47507)</f>
        <v>47507</v>
      </c>
      <c r="O34" s="81"/>
      <c r="P34" s="82"/>
      <c r="Q34" s="77">
        <f ca="1">IFERROR(__xludf.DUMMYFUNCTION("DATE(VALUE(LEFT($B$2,4)),VALUE(MID($B$2,6,2)),VALUE(RIGHT($B$2,2)))
+ (VALUE(REGEXEXTRACT(INDIRECT(""A""&amp;ROW()+1),""\d+""))-1)*7
+ INT((COLUMN()-COLUMN($B34))/3)
"),47508)</f>
        <v>47508</v>
      </c>
      <c r="R34" s="81"/>
      <c r="S34" s="82"/>
      <c r="T34" s="77">
        <f ca="1">IFERROR(__xludf.DUMMYFUNCTION("DATE(VALUE(LEFT($B$2,4)),VALUE(MID($B$2,6,2)),VALUE(RIGHT($B$2,2)))
+ (VALUE(REGEXEXTRACT(INDIRECT(""A""&amp;ROW()+1),""\d+""))-1)*7
+ INT((COLUMN()-COLUMN($B34))/3)
"),47509)</f>
        <v>47509</v>
      </c>
      <c r="U34" s="81"/>
      <c r="V34" s="82"/>
      <c r="W34" s="143"/>
    </row>
    <row r="35" spans="1:23" ht="15" customHeight="1">
      <c r="A35" s="47" t="s">
        <v>139</v>
      </c>
      <c r="B35" s="34" t="s">
        <v>74</v>
      </c>
      <c r="C35" s="18">
        <v>-75</v>
      </c>
      <c r="D35" s="17">
        <f>V33+C35</f>
        <v>-1204</v>
      </c>
      <c r="E35" s="113"/>
      <c r="F35" s="109"/>
      <c r="G35" s="42">
        <f>D44+F35</f>
        <v>-1294</v>
      </c>
      <c r="H35" s="112"/>
      <c r="I35" s="111"/>
      <c r="J35" s="17">
        <f>G44+I35</f>
        <v>-1294</v>
      </c>
      <c r="K35" s="113"/>
      <c r="L35" s="109"/>
      <c r="M35" s="35">
        <f>J44+L35</f>
        <v>-1294</v>
      </c>
      <c r="N35" s="112"/>
      <c r="O35" s="111"/>
      <c r="P35" s="17">
        <f>M44+O35</f>
        <v>-1294</v>
      </c>
      <c r="Q35" s="113"/>
      <c r="R35" s="109"/>
      <c r="S35" s="35">
        <f>P44+R35</f>
        <v>-1294</v>
      </c>
      <c r="T35" s="112"/>
      <c r="U35" s="111"/>
      <c r="V35" s="48">
        <f>S44+U35</f>
        <v>-1294</v>
      </c>
      <c r="W35" s="143"/>
    </row>
    <row r="36" spans="1:23" ht="15" customHeight="1">
      <c r="A36" s="114"/>
      <c r="B36" s="37" t="s">
        <v>76</v>
      </c>
      <c r="C36" s="23">
        <v>-25</v>
      </c>
      <c r="D36" s="26">
        <f t="shared" ref="D36:D44" si="21">D35+C36</f>
        <v>-1229</v>
      </c>
      <c r="E36" s="118"/>
      <c r="F36" s="117"/>
      <c r="G36" s="19">
        <f t="shared" ref="G36:G44" si="22">G35+F36</f>
        <v>-1294</v>
      </c>
      <c r="H36" s="106"/>
      <c r="I36" s="107"/>
      <c r="J36" s="26">
        <f t="shared" ref="J36:J44" si="23">J35+I36</f>
        <v>-1294</v>
      </c>
      <c r="K36" s="118"/>
      <c r="L36" s="117"/>
      <c r="M36" s="38">
        <f t="shared" ref="M36:M44" si="24">M35+L36</f>
        <v>-1294</v>
      </c>
      <c r="N36" s="106"/>
      <c r="O36" s="107"/>
      <c r="P36" s="26">
        <f t="shared" ref="P36:P44" si="25">P35+O36</f>
        <v>-1294</v>
      </c>
      <c r="Q36" s="118"/>
      <c r="R36" s="117"/>
      <c r="S36" s="38">
        <f t="shared" ref="S36:S44" si="26">S35+R36</f>
        <v>-1294</v>
      </c>
      <c r="T36" s="106"/>
      <c r="U36" s="107"/>
      <c r="V36" s="20">
        <f t="shared" ref="V36:V44" si="27">V35+U36</f>
        <v>-1294</v>
      </c>
      <c r="W36" s="143"/>
    </row>
    <row r="37" spans="1:23" ht="15" customHeight="1">
      <c r="A37" s="114"/>
      <c r="B37" s="37" t="s">
        <v>79</v>
      </c>
      <c r="C37" s="23">
        <v>-65</v>
      </c>
      <c r="D37" s="26">
        <f t="shared" si="21"/>
        <v>-1294</v>
      </c>
      <c r="E37" s="118"/>
      <c r="F37" s="117"/>
      <c r="G37" s="19">
        <f t="shared" si="22"/>
        <v>-1294</v>
      </c>
      <c r="H37" s="106"/>
      <c r="I37" s="107"/>
      <c r="J37" s="26">
        <f t="shared" si="23"/>
        <v>-1294</v>
      </c>
      <c r="K37" s="117"/>
      <c r="L37" s="117"/>
      <c r="M37" s="38">
        <f t="shared" si="24"/>
        <v>-1294</v>
      </c>
      <c r="N37" s="106"/>
      <c r="O37" s="107"/>
      <c r="P37" s="26">
        <f t="shared" si="25"/>
        <v>-1294</v>
      </c>
      <c r="Q37" s="118"/>
      <c r="R37" s="117"/>
      <c r="S37" s="38">
        <f t="shared" si="26"/>
        <v>-1294</v>
      </c>
      <c r="T37" s="106"/>
      <c r="U37" s="107"/>
      <c r="V37" s="20">
        <f t="shared" si="27"/>
        <v>-1294</v>
      </c>
      <c r="W37" s="143"/>
    </row>
    <row r="38" spans="1:23" ht="15" customHeight="1">
      <c r="A38" s="114"/>
      <c r="B38" s="106"/>
      <c r="C38" s="107"/>
      <c r="D38" s="26">
        <f t="shared" si="21"/>
        <v>-1294</v>
      </c>
      <c r="E38" s="118"/>
      <c r="F38" s="117"/>
      <c r="G38" s="19">
        <f t="shared" si="22"/>
        <v>-1294</v>
      </c>
      <c r="H38" s="106"/>
      <c r="I38" s="107"/>
      <c r="J38" s="26">
        <f t="shared" si="23"/>
        <v>-1294</v>
      </c>
      <c r="K38" s="117"/>
      <c r="L38" s="117"/>
      <c r="M38" s="38">
        <f t="shared" si="24"/>
        <v>-1294</v>
      </c>
      <c r="N38" s="106"/>
      <c r="O38" s="107"/>
      <c r="P38" s="26">
        <f t="shared" si="25"/>
        <v>-1294</v>
      </c>
      <c r="Q38" s="118"/>
      <c r="R38" s="117"/>
      <c r="S38" s="38">
        <f t="shared" si="26"/>
        <v>-1294</v>
      </c>
      <c r="T38" s="106"/>
      <c r="U38" s="107"/>
      <c r="V38" s="20">
        <f t="shared" si="27"/>
        <v>-1294</v>
      </c>
      <c r="W38" s="143"/>
    </row>
    <row r="39" spans="1:23" ht="15" customHeight="1">
      <c r="A39" s="114"/>
      <c r="B39" s="106"/>
      <c r="C39" s="107"/>
      <c r="D39" s="26">
        <f t="shared" si="21"/>
        <v>-1294</v>
      </c>
      <c r="E39" s="118"/>
      <c r="F39" s="117"/>
      <c r="G39" s="19">
        <f t="shared" si="22"/>
        <v>-1294</v>
      </c>
      <c r="H39" s="106"/>
      <c r="I39" s="107"/>
      <c r="J39" s="26">
        <f t="shared" si="23"/>
        <v>-1294</v>
      </c>
      <c r="K39" s="117"/>
      <c r="L39" s="117"/>
      <c r="M39" s="38">
        <f t="shared" si="24"/>
        <v>-1294</v>
      </c>
      <c r="N39" s="106"/>
      <c r="O39" s="107"/>
      <c r="P39" s="26">
        <f t="shared" si="25"/>
        <v>-1294</v>
      </c>
      <c r="Q39" s="118"/>
      <c r="R39" s="117"/>
      <c r="S39" s="38">
        <f t="shared" si="26"/>
        <v>-1294</v>
      </c>
      <c r="T39" s="106"/>
      <c r="U39" s="107"/>
      <c r="V39" s="20">
        <f t="shared" si="27"/>
        <v>-1294</v>
      </c>
      <c r="W39" s="143"/>
    </row>
    <row r="40" spans="1:23" ht="15" customHeight="1">
      <c r="A40" s="114"/>
      <c r="B40" s="106"/>
      <c r="C40" s="107"/>
      <c r="D40" s="26">
        <f t="shared" si="21"/>
        <v>-1294</v>
      </c>
      <c r="E40" s="118"/>
      <c r="F40" s="117"/>
      <c r="G40" s="19">
        <f t="shared" si="22"/>
        <v>-1294</v>
      </c>
      <c r="H40" s="116"/>
      <c r="I40" s="107"/>
      <c r="J40" s="26">
        <f t="shared" si="23"/>
        <v>-1294</v>
      </c>
      <c r="K40" s="117"/>
      <c r="L40" s="117"/>
      <c r="M40" s="38">
        <f t="shared" si="24"/>
        <v>-1294</v>
      </c>
      <c r="N40" s="106"/>
      <c r="O40" s="107"/>
      <c r="P40" s="26">
        <f t="shared" si="25"/>
        <v>-1294</v>
      </c>
      <c r="Q40" s="118"/>
      <c r="R40" s="117"/>
      <c r="S40" s="38">
        <f t="shared" si="26"/>
        <v>-1294</v>
      </c>
      <c r="T40" s="106"/>
      <c r="U40" s="107"/>
      <c r="V40" s="20">
        <f t="shared" si="27"/>
        <v>-1294</v>
      </c>
      <c r="W40" s="143"/>
    </row>
    <row r="41" spans="1:23" ht="15" customHeight="1">
      <c r="A41" s="114"/>
      <c r="B41" s="106"/>
      <c r="C41" s="107"/>
      <c r="D41" s="26">
        <f t="shared" si="21"/>
        <v>-1294</v>
      </c>
      <c r="E41" s="118"/>
      <c r="F41" s="117"/>
      <c r="G41" s="19">
        <f t="shared" si="22"/>
        <v>-1294</v>
      </c>
      <c r="H41" s="106"/>
      <c r="I41" s="107"/>
      <c r="J41" s="26">
        <f t="shared" si="23"/>
        <v>-1294</v>
      </c>
      <c r="K41" s="117"/>
      <c r="L41" s="117"/>
      <c r="M41" s="38">
        <f t="shared" si="24"/>
        <v>-1294</v>
      </c>
      <c r="N41" s="106"/>
      <c r="O41" s="107"/>
      <c r="P41" s="26">
        <f t="shared" si="25"/>
        <v>-1294</v>
      </c>
      <c r="Q41" s="118"/>
      <c r="R41" s="117"/>
      <c r="S41" s="38">
        <f t="shared" si="26"/>
        <v>-1294</v>
      </c>
      <c r="T41" s="106"/>
      <c r="U41" s="107"/>
      <c r="V41" s="20">
        <f t="shared" si="27"/>
        <v>-1294</v>
      </c>
      <c r="W41" s="143"/>
    </row>
    <row r="42" spans="1:23" ht="15" customHeight="1">
      <c r="A42" s="114"/>
      <c r="B42" s="106"/>
      <c r="C42" s="107"/>
      <c r="D42" s="26">
        <f t="shared" si="21"/>
        <v>-1294</v>
      </c>
      <c r="E42" s="118"/>
      <c r="F42" s="117"/>
      <c r="G42" s="19">
        <f t="shared" si="22"/>
        <v>-1294</v>
      </c>
      <c r="H42" s="106"/>
      <c r="I42" s="107"/>
      <c r="J42" s="26">
        <f t="shared" si="23"/>
        <v>-1294</v>
      </c>
      <c r="K42" s="117"/>
      <c r="L42" s="117"/>
      <c r="M42" s="38">
        <f t="shared" si="24"/>
        <v>-1294</v>
      </c>
      <c r="N42" s="106"/>
      <c r="O42" s="107"/>
      <c r="P42" s="26">
        <f t="shared" si="25"/>
        <v>-1294</v>
      </c>
      <c r="Q42" s="118"/>
      <c r="R42" s="117"/>
      <c r="S42" s="38">
        <f t="shared" si="26"/>
        <v>-1294</v>
      </c>
      <c r="T42" s="106"/>
      <c r="U42" s="107"/>
      <c r="V42" s="20">
        <f t="shared" si="27"/>
        <v>-1294</v>
      </c>
      <c r="W42" s="143"/>
    </row>
    <row r="43" spans="1:23" ht="15" customHeight="1">
      <c r="A43" s="114"/>
      <c r="B43" s="106"/>
      <c r="C43" s="107"/>
      <c r="D43" s="26">
        <f t="shared" si="21"/>
        <v>-1294</v>
      </c>
      <c r="E43" s="118"/>
      <c r="F43" s="117"/>
      <c r="G43" s="19">
        <f t="shared" si="22"/>
        <v>-1294</v>
      </c>
      <c r="H43" s="106"/>
      <c r="I43" s="107"/>
      <c r="J43" s="26">
        <f t="shared" si="23"/>
        <v>-1294</v>
      </c>
      <c r="K43" s="117"/>
      <c r="L43" s="117"/>
      <c r="M43" s="38">
        <f t="shared" si="24"/>
        <v>-1294</v>
      </c>
      <c r="N43" s="106"/>
      <c r="O43" s="107"/>
      <c r="P43" s="26">
        <f t="shared" si="25"/>
        <v>-1294</v>
      </c>
      <c r="Q43" s="118"/>
      <c r="R43" s="117"/>
      <c r="S43" s="38">
        <f t="shared" si="26"/>
        <v>-1294</v>
      </c>
      <c r="T43" s="106"/>
      <c r="U43" s="107"/>
      <c r="V43" s="20">
        <f t="shared" si="27"/>
        <v>-1294</v>
      </c>
      <c r="W43" s="143"/>
    </row>
    <row r="44" spans="1:23" ht="15" customHeight="1">
      <c r="A44" s="114"/>
      <c r="B44" s="122"/>
      <c r="C44" s="123"/>
      <c r="D44" s="39">
        <f t="shared" si="21"/>
        <v>-1294</v>
      </c>
      <c r="E44" s="154"/>
      <c r="F44" s="128"/>
      <c r="G44" s="29">
        <f t="shared" si="22"/>
        <v>-1294</v>
      </c>
      <c r="H44" s="122"/>
      <c r="I44" s="123"/>
      <c r="J44" s="39">
        <f t="shared" si="23"/>
        <v>-1294</v>
      </c>
      <c r="K44" s="154"/>
      <c r="L44" s="128"/>
      <c r="M44" s="40">
        <f t="shared" si="24"/>
        <v>-1294</v>
      </c>
      <c r="N44" s="122"/>
      <c r="O44" s="123"/>
      <c r="P44" s="39">
        <f t="shared" si="25"/>
        <v>-1294</v>
      </c>
      <c r="Q44" s="154"/>
      <c r="R44" s="128"/>
      <c r="S44" s="40">
        <f t="shared" si="26"/>
        <v>-1294</v>
      </c>
      <c r="T44" s="122"/>
      <c r="U44" s="123"/>
      <c r="V44" s="49">
        <f t="shared" si="27"/>
        <v>-1294</v>
      </c>
      <c r="W44" s="143"/>
    </row>
    <row r="45" spans="1:23" ht="17.25" customHeight="1">
      <c r="A45" s="87"/>
      <c r="B45" s="77">
        <f ca="1">IFERROR(__xludf.DUMMYFUNCTION("DATE(VALUE(LEFT($B$2,4)),VALUE(MID($B$2,6,2)),VALUE(RIGHT($B$2,2)))
+ (VALUE(REGEXEXTRACT(INDIRECT(""A""&amp;ROW()+1),""\d+""))-1)*7
+ INT((COLUMN()-COLUMN($B45))/3)
"),47510)</f>
        <v>47510</v>
      </c>
      <c r="C45" s="81"/>
      <c r="D45" s="82"/>
      <c r="E45" s="77">
        <f ca="1">IFERROR(__xludf.DUMMYFUNCTION("DATE(VALUE(LEFT($B$2,4)),VALUE(MID($B$2,6,2)),VALUE(RIGHT($B$2,2)))
+ (VALUE(REGEXEXTRACT(INDIRECT(""A""&amp;ROW()+1),""\d+""))-1)*7
+ INT((COLUMN()-COLUMN($B45))/3)
"),47511)</f>
        <v>47511</v>
      </c>
      <c r="F45" s="81"/>
      <c r="G45" s="82"/>
      <c r="H45" s="77">
        <f ca="1">IFERROR(__xludf.DUMMYFUNCTION("DATE(VALUE(LEFT($B$2,4)),VALUE(MID($B$2,6,2)),VALUE(RIGHT($B$2,2)))
+ (VALUE(REGEXEXTRACT(INDIRECT(""A""&amp;ROW()+1),""\d+""))-1)*7
+ INT((COLUMN()-COLUMN($B45))/3)
"),47512)</f>
        <v>47512</v>
      </c>
      <c r="I45" s="81"/>
      <c r="J45" s="82"/>
      <c r="K45" s="77">
        <f ca="1">IFERROR(__xludf.DUMMYFUNCTION("DATE(VALUE(LEFT($B$2,4)),VALUE(MID($B$2,6,2)),VALUE(RIGHT($B$2,2)))
+ (VALUE(REGEXEXTRACT(INDIRECT(""A""&amp;ROW()+1),""\d+""))-1)*7
+ INT((COLUMN()-COLUMN($B45))/3)
"),47513)</f>
        <v>47513</v>
      </c>
      <c r="L45" s="81"/>
      <c r="M45" s="82"/>
      <c r="N45" s="77">
        <f ca="1">IFERROR(__xludf.DUMMYFUNCTION("DATE(VALUE(LEFT($B$2,4)),VALUE(MID($B$2,6,2)),VALUE(RIGHT($B$2,2)))
+ (VALUE(REGEXEXTRACT(INDIRECT(""A""&amp;ROW()+1),""\d+""))-1)*7
+ INT((COLUMN()-COLUMN($B45))/3)
"),47514)</f>
        <v>47514</v>
      </c>
      <c r="O45" s="81"/>
      <c r="P45" s="82"/>
      <c r="Q45" s="77">
        <f ca="1">IFERROR(__xludf.DUMMYFUNCTION("DATE(VALUE(LEFT($B$2,4)),VALUE(MID($B$2,6,2)),VALUE(RIGHT($B$2,2)))
+ (VALUE(REGEXEXTRACT(INDIRECT(""A""&amp;ROW()+1),""\d+""))-1)*7
+ INT((COLUMN()-COLUMN($B45))/3)
"),47515)</f>
        <v>47515</v>
      </c>
      <c r="R45" s="81"/>
      <c r="S45" s="82"/>
      <c r="T45" s="77">
        <f ca="1">IFERROR(__xludf.DUMMYFUNCTION("DATE(VALUE(LEFT($B$2,4)),VALUE(MID($B$2,6,2)),VALUE(RIGHT($B$2,2)))
+ (VALUE(REGEXEXTRACT(INDIRECT(""A""&amp;ROW()+1),""\d+""))-1)*7
+ INT((COLUMN()-COLUMN($B45))/3)
"),47516)</f>
        <v>47516</v>
      </c>
      <c r="U45" s="81"/>
      <c r="V45" s="82"/>
      <c r="W45" s="41" t="s">
        <v>20</v>
      </c>
    </row>
    <row r="46" spans="1:23" ht="15" customHeight="1">
      <c r="A46" s="47" t="s">
        <v>140</v>
      </c>
      <c r="B46" s="35" t="s">
        <v>74</v>
      </c>
      <c r="C46" s="35">
        <v>-75</v>
      </c>
      <c r="D46" s="42">
        <f>V44+C46</f>
        <v>-1369</v>
      </c>
      <c r="E46" s="112"/>
      <c r="F46" s="168"/>
      <c r="G46" s="18">
        <f>D56+F46</f>
        <v>-1459</v>
      </c>
      <c r="H46" s="113"/>
      <c r="I46" s="132"/>
      <c r="J46" s="42">
        <f>G56+I46</f>
        <v>-1459</v>
      </c>
      <c r="K46" s="112"/>
      <c r="L46" s="111"/>
      <c r="M46" s="48">
        <f>J56+L46</f>
        <v>-1459</v>
      </c>
      <c r="N46" s="149"/>
      <c r="O46" s="109"/>
      <c r="P46" s="35">
        <f>M56+O46</f>
        <v>-1459</v>
      </c>
      <c r="Q46" s="112"/>
      <c r="R46" s="111"/>
      <c r="S46" s="18">
        <f>P56+R46</f>
        <v>-1459</v>
      </c>
      <c r="T46" s="113"/>
      <c r="U46" s="109"/>
      <c r="V46" s="50">
        <f>S56+U46</f>
        <v>-1459</v>
      </c>
      <c r="W46" s="169"/>
    </row>
    <row r="47" spans="1:23" ht="15" customHeight="1">
      <c r="A47" s="114"/>
      <c r="B47" s="38" t="s">
        <v>76</v>
      </c>
      <c r="C47" s="38">
        <v>-25</v>
      </c>
      <c r="D47" s="19">
        <f t="shared" ref="D47:D56" si="28">D46+C47</f>
        <v>-1394</v>
      </c>
      <c r="E47" s="106"/>
      <c r="F47" s="170"/>
      <c r="G47" s="26">
        <f t="shared" ref="G47:G56" si="29">G46+F47</f>
        <v>-1459</v>
      </c>
      <c r="H47" s="118"/>
      <c r="I47" s="133"/>
      <c r="J47" s="19">
        <f t="shared" ref="J47:J56" si="30">J46+I47</f>
        <v>-1459</v>
      </c>
      <c r="K47" s="106"/>
      <c r="L47" s="107"/>
      <c r="M47" s="26">
        <f t="shared" ref="M47:M56" si="31">M46+L47</f>
        <v>-1459</v>
      </c>
      <c r="N47" s="117"/>
      <c r="O47" s="117"/>
      <c r="P47" s="38">
        <f t="shared" ref="P47:P56" si="32">P46+O47</f>
        <v>-1459</v>
      </c>
      <c r="Q47" s="106"/>
      <c r="R47" s="107"/>
      <c r="S47" s="26">
        <f t="shared" ref="S47:S56" si="33">S46+R47</f>
        <v>-1459</v>
      </c>
      <c r="T47" s="136"/>
      <c r="U47" s="136"/>
      <c r="V47" s="45">
        <f t="shared" ref="V47:V56" si="34">V46+U47</f>
        <v>-1459</v>
      </c>
      <c r="W47" s="143"/>
    </row>
    <row r="48" spans="1:23" ht="15" customHeight="1">
      <c r="A48" s="114"/>
      <c r="B48" s="38" t="s">
        <v>90</v>
      </c>
      <c r="C48" s="38">
        <v>-65</v>
      </c>
      <c r="D48" s="19">
        <f t="shared" si="28"/>
        <v>-1459</v>
      </c>
      <c r="E48" s="106"/>
      <c r="F48" s="170"/>
      <c r="G48" s="26">
        <f t="shared" si="29"/>
        <v>-1459</v>
      </c>
      <c r="H48" s="118"/>
      <c r="I48" s="133"/>
      <c r="J48" s="19">
        <f t="shared" si="30"/>
        <v>-1459</v>
      </c>
      <c r="K48" s="106"/>
      <c r="L48" s="107"/>
      <c r="M48" s="26">
        <f t="shared" si="31"/>
        <v>-1459</v>
      </c>
      <c r="N48" s="117"/>
      <c r="O48" s="117"/>
      <c r="P48" s="38">
        <f t="shared" si="32"/>
        <v>-1459</v>
      </c>
      <c r="Q48" s="106"/>
      <c r="R48" s="107"/>
      <c r="S48" s="26">
        <f t="shared" si="33"/>
        <v>-1459</v>
      </c>
      <c r="T48" s="136"/>
      <c r="U48" s="136"/>
      <c r="V48" s="45">
        <f t="shared" si="34"/>
        <v>-1459</v>
      </c>
      <c r="W48" s="143"/>
    </row>
    <row r="49" spans="1:23" ht="15" customHeight="1">
      <c r="A49" s="114"/>
      <c r="B49" s="117"/>
      <c r="C49" s="117"/>
      <c r="D49" s="19">
        <f t="shared" si="28"/>
        <v>-1459</v>
      </c>
      <c r="E49" s="106"/>
      <c r="F49" s="170"/>
      <c r="G49" s="26">
        <f t="shared" si="29"/>
        <v>-1459</v>
      </c>
      <c r="H49" s="118"/>
      <c r="I49" s="133"/>
      <c r="J49" s="19">
        <f t="shared" si="30"/>
        <v>-1459</v>
      </c>
      <c r="K49" s="106"/>
      <c r="L49" s="107"/>
      <c r="M49" s="26">
        <f t="shared" si="31"/>
        <v>-1459</v>
      </c>
      <c r="N49" s="117"/>
      <c r="O49" s="117"/>
      <c r="P49" s="19">
        <f t="shared" si="32"/>
        <v>-1459</v>
      </c>
      <c r="Q49" s="106"/>
      <c r="R49" s="107"/>
      <c r="S49" s="26">
        <f t="shared" si="33"/>
        <v>-1459</v>
      </c>
      <c r="T49" s="136"/>
      <c r="U49" s="136"/>
      <c r="V49" s="45">
        <f t="shared" si="34"/>
        <v>-1459</v>
      </c>
      <c r="W49" s="143"/>
    </row>
    <row r="50" spans="1:23" ht="15" customHeight="1">
      <c r="A50" s="114"/>
      <c r="B50" s="117"/>
      <c r="C50" s="117"/>
      <c r="D50" s="19">
        <f t="shared" si="28"/>
        <v>-1459</v>
      </c>
      <c r="E50" s="106"/>
      <c r="F50" s="170"/>
      <c r="G50" s="26">
        <f t="shared" si="29"/>
        <v>-1459</v>
      </c>
      <c r="H50" s="118"/>
      <c r="I50" s="133"/>
      <c r="J50" s="19">
        <f t="shared" si="30"/>
        <v>-1459</v>
      </c>
      <c r="K50" s="106"/>
      <c r="L50" s="107"/>
      <c r="M50" s="26">
        <f t="shared" si="31"/>
        <v>-1459</v>
      </c>
      <c r="N50" s="117"/>
      <c r="O50" s="117"/>
      <c r="P50" s="19">
        <f t="shared" si="32"/>
        <v>-1459</v>
      </c>
      <c r="Q50" s="106"/>
      <c r="R50" s="107"/>
      <c r="S50" s="26">
        <f t="shared" si="33"/>
        <v>-1459</v>
      </c>
      <c r="T50" s="136"/>
      <c r="U50" s="136"/>
      <c r="V50" s="45">
        <f t="shared" si="34"/>
        <v>-1459</v>
      </c>
      <c r="W50" s="143"/>
    </row>
    <row r="51" spans="1:23" ht="15" customHeight="1">
      <c r="A51" s="114"/>
      <c r="B51" s="118"/>
      <c r="C51" s="117"/>
      <c r="D51" s="19">
        <f t="shared" si="28"/>
        <v>-1459</v>
      </c>
      <c r="E51" s="106"/>
      <c r="F51" s="170"/>
      <c r="G51" s="26">
        <f t="shared" si="29"/>
        <v>-1459</v>
      </c>
      <c r="H51" s="118"/>
      <c r="I51" s="133"/>
      <c r="J51" s="19">
        <f t="shared" si="30"/>
        <v>-1459</v>
      </c>
      <c r="K51" s="106"/>
      <c r="L51" s="107"/>
      <c r="M51" s="26">
        <f t="shared" si="31"/>
        <v>-1459</v>
      </c>
      <c r="N51" s="117"/>
      <c r="O51" s="117"/>
      <c r="P51" s="19">
        <f t="shared" si="32"/>
        <v>-1459</v>
      </c>
      <c r="Q51" s="106"/>
      <c r="R51" s="107"/>
      <c r="S51" s="26">
        <f t="shared" si="33"/>
        <v>-1459</v>
      </c>
      <c r="T51" s="136"/>
      <c r="U51" s="136"/>
      <c r="V51" s="45">
        <f t="shared" si="34"/>
        <v>-1459</v>
      </c>
      <c r="W51" s="143"/>
    </row>
    <row r="52" spans="1:23" ht="15" customHeight="1">
      <c r="A52" s="114"/>
      <c r="B52" s="117"/>
      <c r="C52" s="117"/>
      <c r="D52" s="19">
        <f t="shared" si="28"/>
        <v>-1459</v>
      </c>
      <c r="E52" s="106"/>
      <c r="F52" s="170"/>
      <c r="G52" s="26">
        <f t="shared" si="29"/>
        <v>-1459</v>
      </c>
      <c r="H52" s="118"/>
      <c r="I52" s="133"/>
      <c r="J52" s="19">
        <f t="shared" si="30"/>
        <v>-1459</v>
      </c>
      <c r="K52" s="106"/>
      <c r="L52" s="107"/>
      <c r="M52" s="26">
        <f t="shared" si="31"/>
        <v>-1459</v>
      </c>
      <c r="N52" s="117"/>
      <c r="O52" s="117"/>
      <c r="P52" s="38">
        <f t="shared" si="32"/>
        <v>-1459</v>
      </c>
      <c r="Q52" s="106"/>
      <c r="R52" s="107"/>
      <c r="S52" s="26">
        <f t="shared" si="33"/>
        <v>-1459</v>
      </c>
      <c r="T52" s="136"/>
      <c r="U52" s="136"/>
      <c r="V52" s="45">
        <f t="shared" si="34"/>
        <v>-1459</v>
      </c>
      <c r="W52" s="143"/>
    </row>
    <row r="53" spans="1:23" ht="15" customHeight="1">
      <c r="A53" s="114"/>
      <c r="B53" s="117"/>
      <c r="C53" s="117"/>
      <c r="D53" s="19">
        <f t="shared" si="28"/>
        <v>-1459</v>
      </c>
      <c r="E53" s="106"/>
      <c r="F53" s="170"/>
      <c r="G53" s="26">
        <f t="shared" si="29"/>
        <v>-1459</v>
      </c>
      <c r="H53" s="117"/>
      <c r="I53" s="133"/>
      <c r="J53" s="19">
        <f t="shared" si="30"/>
        <v>-1459</v>
      </c>
      <c r="K53" s="106"/>
      <c r="L53" s="107"/>
      <c r="M53" s="26">
        <f t="shared" si="31"/>
        <v>-1459</v>
      </c>
      <c r="N53" s="117"/>
      <c r="O53" s="117"/>
      <c r="P53" s="38">
        <f t="shared" si="32"/>
        <v>-1459</v>
      </c>
      <c r="Q53" s="106"/>
      <c r="R53" s="107"/>
      <c r="S53" s="26">
        <f t="shared" si="33"/>
        <v>-1459</v>
      </c>
      <c r="T53" s="136"/>
      <c r="U53" s="136"/>
      <c r="V53" s="45">
        <f t="shared" si="34"/>
        <v>-1459</v>
      </c>
      <c r="W53" s="143"/>
    </row>
    <row r="54" spans="1:23" ht="15" customHeight="1">
      <c r="A54" s="114"/>
      <c r="B54" s="117"/>
      <c r="C54" s="117"/>
      <c r="D54" s="19">
        <f t="shared" si="28"/>
        <v>-1459</v>
      </c>
      <c r="E54" s="106"/>
      <c r="F54" s="170"/>
      <c r="G54" s="26">
        <f t="shared" si="29"/>
        <v>-1459</v>
      </c>
      <c r="H54" s="117"/>
      <c r="I54" s="133"/>
      <c r="J54" s="19">
        <f t="shared" si="30"/>
        <v>-1459</v>
      </c>
      <c r="K54" s="106"/>
      <c r="L54" s="107"/>
      <c r="M54" s="26">
        <f t="shared" si="31"/>
        <v>-1459</v>
      </c>
      <c r="N54" s="117"/>
      <c r="O54" s="117"/>
      <c r="P54" s="38">
        <f t="shared" si="32"/>
        <v>-1459</v>
      </c>
      <c r="Q54" s="106"/>
      <c r="R54" s="107"/>
      <c r="S54" s="26">
        <f t="shared" si="33"/>
        <v>-1459</v>
      </c>
      <c r="T54" s="118"/>
      <c r="U54" s="117"/>
      <c r="V54" s="45">
        <f t="shared" si="34"/>
        <v>-1459</v>
      </c>
      <c r="W54" s="143"/>
    </row>
    <row r="55" spans="1:23" ht="15" customHeight="1">
      <c r="A55" s="114"/>
      <c r="B55" s="117"/>
      <c r="C55" s="117"/>
      <c r="D55" s="19">
        <f t="shared" si="28"/>
        <v>-1459</v>
      </c>
      <c r="E55" s="122"/>
      <c r="F55" s="171"/>
      <c r="G55" s="26">
        <f t="shared" si="29"/>
        <v>-1459</v>
      </c>
      <c r="H55" s="117"/>
      <c r="I55" s="133"/>
      <c r="J55" s="19">
        <f t="shared" si="30"/>
        <v>-1459</v>
      </c>
      <c r="K55" s="122"/>
      <c r="L55" s="123"/>
      <c r="M55" s="26">
        <f t="shared" si="31"/>
        <v>-1459</v>
      </c>
      <c r="N55" s="117"/>
      <c r="O55" s="117"/>
      <c r="P55" s="38">
        <f t="shared" si="32"/>
        <v>-1459</v>
      </c>
      <c r="Q55" s="122"/>
      <c r="R55" s="123"/>
      <c r="S55" s="26">
        <f t="shared" si="33"/>
        <v>-1459</v>
      </c>
      <c r="T55" s="136"/>
      <c r="U55" s="136"/>
      <c r="V55" s="45">
        <f t="shared" si="34"/>
        <v>-1459</v>
      </c>
      <c r="W55" s="143"/>
    </row>
    <row r="56" spans="1:23" ht="15" customHeight="1">
      <c r="A56" s="114"/>
      <c r="B56" s="128"/>
      <c r="C56" s="128"/>
      <c r="D56" s="29">
        <f t="shared" si="28"/>
        <v>-1459</v>
      </c>
      <c r="E56" s="122"/>
      <c r="F56" s="171"/>
      <c r="G56" s="39">
        <f t="shared" si="29"/>
        <v>-1459</v>
      </c>
      <c r="H56" s="128"/>
      <c r="I56" s="140"/>
      <c r="J56" s="29">
        <f t="shared" si="30"/>
        <v>-1459</v>
      </c>
      <c r="K56" s="122"/>
      <c r="L56" s="123"/>
      <c r="M56" s="39">
        <f t="shared" si="31"/>
        <v>-1459</v>
      </c>
      <c r="N56" s="128"/>
      <c r="O56" s="128"/>
      <c r="P56" s="40">
        <f t="shared" si="32"/>
        <v>-1459</v>
      </c>
      <c r="Q56" s="122"/>
      <c r="R56" s="123"/>
      <c r="S56" s="39">
        <f t="shared" si="33"/>
        <v>-1459</v>
      </c>
      <c r="T56" s="141"/>
      <c r="U56" s="141"/>
      <c r="V56" s="46">
        <f t="shared" si="34"/>
        <v>-1459</v>
      </c>
      <c r="W56" s="143"/>
    </row>
    <row r="57" spans="1:23" ht="17.25" customHeight="1">
      <c r="A57" s="87"/>
      <c r="B57" s="77">
        <f ca="1">IFERROR(__xludf.DUMMYFUNCTION("DATE(VALUE(LEFT($B$2,4)),VALUE(MID($B$2,6,2)),VALUE(RIGHT($B$2,2)))
+ (VALUE(REGEXEXTRACT(INDIRECT(""A""&amp;ROW()+1),""\d+""))-1)*7
+ INT((COLUMN()-COLUMN($B57))/3)
"),47517)</f>
        <v>47517</v>
      </c>
      <c r="C57" s="81"/>
      <c r="D57" s="82"/>
      <c r="E57" s="77">
        <f ca="1">IFERROR(__xludf.DUMMYFUNCTION("DATE(VALUE(LEFT($B$2,4)),VALUE(MID($B$2,6,2)),VALUE(RIGHT($B$2,2)))
+ (VALUE(REGEXEXTRACT(INDIRECT(""A""&amp;ROW()+1),""\d+""))-1)*7
+ INT((COLUMN()-COLUMN($B57))/3)
"),47518)</f>
        <v>47518</v>
      </c>
      <c r="F57" s="81"/>
      <c r="G57" s="82"/>
      <c r="H57" s="77">
        <f ca="1">IFERROR(__xludf.DUMMYFUNCTION("DATE(VALUE(LEFT($B$2,4)),VALUE(MID($B$2,6,2)),VALUE(RIGHT($B$2,2)))
+ (VALUE(REGEXEXTRACT(INDIRECT(""A""&amp;ROW()+1),""\d+""))-1)*7
+ INT((COLUMN()-COLUMN($B57))/3)
"),47519)</f>
        <v>47519</v>
      </c>
      <c r="I57" s="81"/>
      <c r="J57" s="82"/>
      <c r="K57" s="77">
        <f ca="1">IFERROR(__xludf.DUMMYFUNCTION("DATE(VALUE(LEFT($B$2,4)),VALUE(MID($B$2,6,2)),VALUE(RIGHT($B$2,2)))
+ (VALUE(REGEXEXTRACT(INDIRECT(""A""&amp;ROW()+1),""\d+""))-1)*7
+ INT((COLUMN()-COLUMN($B57))/3)
"),47520)</f>
        <v>47520</v>
      </c>
      <c r="L57" s="81"/>
      <c r="M57" s="82"/>
      <c r="N57" s="77">
        <f ca="1">IFERROR(__xludf.DUMMYFUNCTION("DATE(VALUE(LEFT($B$2,4)),VALUE(MID($B$2,6,2)),VALUE(RIGHT($B$2,2)))
+ (VALUE(REGEXEXTRACT(INDIRECT(""A""&amp;ROW()+1),""\d+""))-1)*7
+ INT((COLUMN()-COLUMN($B57))/3)
"),47521)</f>
        <v>47521</v>
      </c>
      <c r="O57" s="81"/>
      <c r="P57" s="82"/>
      <c r="Q57" s="77">
        <f ca="1">IFERROR(__xludf.DUMMYFUNCTION("DATE(VALUE(LEFT($B$2,4)),VALUE(MID($B$2,6,2)),VALUE(RIGHT($B$2,2)))
+ (VALUE(REGEXEXTRACT(INDIRECT(""A""&amp;ROW()+1),""\d+""))-1)*7
+ INT((COLUMN()-COLUMN($B57))/3)
"),47522)</f>
        <v>47522</v>
      </c>
      <c r="R57" s="81"/>
      <c r="S57" s="82"/>
      <c r="T57" s="77">
        <f ca="1">IFERROR(__xludf.DUMMYFUNCTION("DATE(VALUE(LEFT($B$2,4)),VALUE(MID($B$2,6,2)),VALUE(RIGHT($B$2,2)))
+ (VALUE(REGEXEXTRACT(INDIRECT(""A""&amp;ROW()+1),""\d+""))-1)*7
+ INT((COLUMN()-COLUMN($B57))/3)
"),47523)</f>
        <v>47523</v>
      </c>
      <c r="U57" s="81"/>
      <c r="V57" s="82"/>
      <c r="W57" s="143"/>
    </row>
    <row r="58" spans="1:23" ht="15" customHeight="1">
      <c r="A58" s="51" t="s">
        <v>141</v>
      </c>
      <c r="B58" s="112"/>
      <c r="C58" s="111"/>
      <c r="D58" s="17">
        <f>V56+C58</f>
        <v>-1459</v>
      </c>
      <c r="E58" s="109"/>
      <c r="F58" s="109"/>
      <c r="G58" s="42">
        <f>D66+F58</f>
        <v>-1459</v>
      </c>
      <c r="H58" s="112"/>
      <c r="I58" s="111"/>
      <c r="J58" s="17">
        <f>G66+I58</f>
        <v>-1459</v>
      </c>
      <c r="K58" s="109"/>
      <c r="L58" s="109"/>
      <c r="M58" s="35">
        <f>J66+L58</f>
        <v>-1459</v>
      </c>
      <c r="N58" s="112"/>
      <c r="O58" s="111"/>
      <c r="P58" s="17">
        <f>M66+O58</f>
        <v>-1459</v>
      </c>
      <c r="Q58" s="109"/>
      <c r="R58" s="109"/>
      <c r="S58" s="35">
        <f>P66+R58</f>
        <v>-1459</v>
      </c>
      <c r="T58" s="112"/>
      <c r="U58" s="111"/>
      <c r="V58" s="48">
        <f>S66+U58</f>
        <v>-1459</v>
      </c>
      <c r="W58" s="143"/>
    </row>
    <row r="59" spans="1:23" ht="15" customHeight="1">
      <c r="A59" s="114"/>
      <c r="B59" s="106"/>
      <c r="C59" s="107"/>
      <c r="D59" s="26">
        <f t="shared" ref="D59:D66" si="35">D58+C59</f>
        <v>-1459</v>
      </c>
      <c r="E59" s="117"/>
      <c r="F59" s="117"/>
      <c r="G59" s="19">
        <f t="shared" ref="G59:G66" si="36">G58+F59</f>
        <v>-1459</v>
      </c>
      <c r="H59" s="106"/>
      <c r="I59" s="107"/>
      <c r="J59" s="26">
        <f t="shared" ref="J59:J66" si="37">J58+I59</f>
        <v>-1459</v>
      </c>
      <c r="K59" s="117"/>
      <c r="L59" s="117"/>
      <c r="M59" s="38">
        <f t="shared" ref="M59:M66" si="38">M58+L59</f>
        <v>-1459</v>
      </c>
      <c r="N59" s="106"/>
      <c r="O59" s="107"/>
      <c r="P59" s="26">
        <f t="shared" ref="P59:P66" si="39">P58+O59</f>
        <v>-1459</v>
      </c>
      <c r="Q59" s="117"/>
      <c r="R59" s="117"/>
      <c r="S59" s="38">
        <f t="shared" ref="S59:S66" si="40">S58+R59</f>
        <v>-1459</v>
      </c>
      <c r="T59" s="106"/>
      <c r="U59" s="107"/>
      <c r="V59" s="20">
        <f t="shared" ref="V59:V66" si="41">V58+U59</f>
        <v>-1459</v>
      </c>
      <c r="W59" s="143"/>
    </row>
    <row r="60" spans="1:23" ht="15" customHeight="1">
      <c r="A60" s="114"/>
      <c r="B60" s="106"/>
      <c r="C60" s="107"/>
      <c r="D60" s="26">
        <f t="shared" si="35"/>
        <v>-1459</v>
      </c>
      <c r="E60" s="117"/>
      <c r="F60" s="117"/>
      <c r="G60" s="19">
        <f t="shared" si="36"/>
        <v>-1459</v>
      </c>
      <c r="H60" s="106"/>
      <c r="I60" s="107"/>
      <c r="J60" s="26">
        <f t="shared" si="37"/>
        <v>-1459</v>
      </c>
      <c r="K60" s="117"/>
      <c r="L60" s="117"/>
      <c r="M60" s="38">
        <f t="shared" si="38"/>
        <v>-1459</v>
      </c>
      <c r="N60" s="106"/>
      <c r="O60" s="107"/>
      <c r="P60" s="26">
        <f t="shared" si="39"/>
        <v>-1459</v>
      </c>
      <c r="Q60" s="117"/>
      <c r="R60" s="117"/>
      <c r="S60" s="38">
        <f t="shared" si="40"/>
        <v>-1459</v>
      </c>
      <c r="T60" s="106"/>
      <c r="U60" s="116"/>
      <c r="V60" s="20">
        <f t="shared" si="41"/>
        <v>-1459</v>
      </c>
      <c r="W60" s="143"/>
    </row>
    <row r="61" spans="1:23" ht="15" customHeight="1">
      <c r="A61" s="114"/>
      <c r="B61" s="106"/>
      <c r="C61" s="107"/>
      <c r="D61" s="26">
        <f t="shared" si="35"/>
        <v>-1459</v>
      </c>
      <c r="E61" s="117"/>
      <c r="F61" s="117"/>
      <c r="G61" s="19">
        <f t="shared" si="36"/>
        <v>-1459</v>
      </c>
      <c r="H61" s="106"/>
      <c r="I61" s="107"/>
      <c r="J61" s="26">
        <f t="shared" si="37"/>
        <v>-1459</v>
      </c>
      <c r="K61" s="117"/>
      <c r="L61" s="117"/>
      <c r="M61" s="38">
        <f t="shared" si="38"/>
        <v>-1459</v>
      </c>
      <c r="N61" s="106"/>
      <c r="O61" s="107"/>
      <c r="P61" s="26">
        <f t="shared" si="39"/>
        <v>-1459</v>
      </c>
      <c r="Q61" s="117"/>
      <c r="R61" s="117"/>
      <c r="S61" s="38">
        <f t="shared" si="40"/>
        <v>-1459</v>
      </c>
      <c r="T61" s="106"/>
      <c r="U61" s="116"/>
      <c r="V61" s="20">
        <f t="shared" si="41"/>
        <v>-1459</v>
      </c>
      <c r="W61" s="143"/>
    </row>
    <row r="62" spans="1:23" ht="15" customHeight="1">
      <c r="A62" s="114"/>
      <c r="B62" s="106"/>
      <c r="C62" s="107"/>
      <c r="D62" s="26">
        <f t="shared" si="35"/>
        <v>-1459</v>
      </c>
      <c r="E62" s="117"/>
      <c r="F62" s="117"/>
      <c r="G62" s="19">
        <f t="shared" si="36"/>
        <v>-1459</v>
      </c>
      <c r="H62" s="106"/>
      <c r="I62" s="107"/>
      <c r="J62" s="26">
        <f t="shared" si="37"/>
        <v>-1459</v>
      </c>
      <c r="K62" s="117"/>
      <c r="L62" s="117"/>
      <c r="M62" s="38">
        <f t="shared" si="38"/>
        <v>-1459</v>
      </c>
      <c r="N62" s="106"/>
      <c r="O62" s="107"/>
      <c r="P62" s="26">
        <f t="shared" si="39"/>
        <v>-1459</v>
      </c>
      <c r="Q62" s="117"/>
      <c r="R62" s="117"/>
      <c r="S62" s="38">
        <f t="shared" si="40"/>
        <v>-1459</v>
      </c>
      <c r="T62" s="106"/>
      <c r="U62" s="116"/>
      <c r="V62" s="20">
        <f t="shared" si="41"/>
        <v>-1459</v>
      </c>
      <c r="W62" s="143"/>
    </row>
    <row r="63" spans="1:23" ht="15" customHeight="1">
      <c r="A63" s="114"/>
      <c r="B63" s="106"/>
      <c r="C63" s="107"/>
      <c r="D63" s="26">
        <f t="shared" si="35"/>
        <v>-1459</v>
      </c>
      <c r="E63" s="117"/>
      <c r="F63" s="117"/>
      <c r="G63" s="19">
        <f t="shared" si="36"/>
        <v>-1459</v>
      </c>
      <c r="H63" s="106"/>
      <c r="I63" s="107"/>
      <c r="J63" s="26">
        <f t="shared" si="37"/>
        <v>-1459</v>
      </c>
      <c r="K63" s="117"/>
      <c r="L63" s="117"/>
      <c r="M63" s="38">
        <f t="shared" si="38"/>
        <v>-1459</v>
      </c>
      <c r="N63" s="106"/>
      <c r="O63" s="107"/>
      <c r="P63" s="26">
        <f t="shared" si="39"/>
        <v>-1459</v>
      </c>
      <c r="Q63" s="117"/>
      <c r="R63" s="117"/>
      <c r="S63" s="38">
        <f t="shared" si="40"/>
        <v>-1459</v>
      </c>
      <c r="T63" s="106"/>
      <c r="U63" s="116"/>
      <c r="V63" s="20">
        <f t="shared" si="41"/>
        <v>-1459</v>
      </c>
      <c r="W63" s="143"/>
    </row>
    <row r="64" spans="1:23" ht="15" customHeight="1">
      <c r="A64" s="114"/>
      <c r="B64" s="106"/>
      <c r="C64" s="107"/>
      <c r="D64" s="26">
        <f t="shared" si="35"/>
        <v>-1459</v>
      </c>
      <c r="E64" s="117"/>
      <c r="F64" s="117"/>
      <c r="G64" s="19">
        <f t="shared" si="36"/>
        <v>-1459</v>
      </c>
      <c r="H64" s="106"/>
      <c r="I64" s="107"/>
      <c r="J64" s="26">
        <f t="shared" si="37"/>
        <v>-1459</v>
      </c>
      <c r="K64" s="117"/>
      <c r="L64" s="117"/>
      <c r="M64" s="38">
        <f t="shared" si="38"/>
        <v>-1459</v>
      </c>
      <c r="N64" s="106"/>
      <c r="O64" s="107"/>
      <c r="P64" s="26">
        <f t="shared" si="39"/>
        <v>-1459</v>
      </c>
      <c r="Q64" s="117"/>
      <c r="R64" s="117"/>
      <c r="S64" s="38">
        <f t="shared" si="40"/>
        <v>-1459</v>
      </c>
      <c r="T64" s="106"/>
      <c r="U64" s="116"/>
      <c r="V64" s="20">
        <f t="shared" si="41"/>
        <v>-1459</v>
      </c>
      <c r="W64" s="143"/>
    </row>
    <row r="65" spans="1:23" ht="15" customHeight="1">
      <c r="A65" s="114"/>
      <c r="B65" s="106"/>
      <c r="C65" s="107"/>
      <c r="D65" s="26">
        <f t="shared" si="35"/>
        <v>-1459</v>
      </c>
      <c r="E65" s="117"/>
      <c r="F65" s="117"/>
      <c r="G65" s="19">
        <f t="shared" si="36"/>
        <v>-1459</v>
      </c>
      <c r="H65" s="106"/>
      <c r="I65" s="107"/>
      <c r="J65" s="26">
        <f t="shared" si="37"/>
        <v>-1459</v>
      </c>
      <c r="K65" s="117"/>
      <c r="L65" s="117"/>
      <c r="M65" s="38">
        <f t="shared" si="38"/>
        <v>-1459</v>
      </c>
      <c r="N65" s="106"/>
      <c r="O65" s="107"/>
      <c r="P65" s="26">
        <f t="shared" si="39"/>
        <v>-1459</v>
      </c>
      <c r="Q65" s="117"/>
      <c r="R65" s="117"/>
      <c r="S65" s="38">
        <f t="shared" si="40"/>
        <v>-1459</v>
      </c>
      <c r="T65" s="106"/>
      <c r="U65" s="116"/>
      <c r="V65" s="20">
        <f t="shared" si="41"/>
        <v>-1459</v>
      </c>
      <c r="W65" s="143"/>
    </row>
    <row r="66" spans="1:23" ht="15" customHeight="1">
      <c r="A66" s="114"/>
      <c r="B66" s="166"/>
      <c r="C66" s="167"/>
      <c r="D66" s="39">
        <f t="shared" si="35"/>
        <v>-1459</v>
      </c>
      <c r="E66" s="128"/>
      <c r="F66" s="128"/>
      <c r="G66" s="29">
        <f t="shared" si="36"/>
        <v>-1459</v>
      </c>
      <c r="H66" s="122"/>
      <c r="I66" s="123"/>
      <c r="J66" s="39">
        <f t="shared" si="37"/>
        <v>-1459</v>
      </c>
      <c r="K66" s="128"/>
      <c r="L66" s="128"/>
      <c r="M66" s="40">
        <f t="shared" si="38"/>
        <v>-1459</v>
      </c>
      <c r="N66" s="122"/>
      <c r="O66" s="123"/>
      <c r="P66" s="39">
        <f t="shared" si="39"/>
        <v>-1459</v>
      </c>
      <c r="Q66" s="128"/>
      <c r="R66" s="128"/>
      <c r="S66" s="40">
        <f t="shared" si="40"/>
        <v>-1459</v>
      </c>
      <c r="T66" s="122"/>
      <c r="U66" s="124"/>
      <c r="V66" s="49">
        <f t="shared" si="41"/>
        <v>-1459</v>
      </c>
      <c r="W66" s="143"/>
    </row>
    <row r="67" spans="1:23" ht="17.25" customHeight="1">
      <c r="A67" s="87"/>
      <c r="B67" s="77">
        <f ca="1">IFERROR(__xludf.DUMMYFUNCTION("DATE(VALUE(LEFT($B$2,4)),VALUE(MID($B$2,6,2)),VALUE(RIGHT($B$2,2)))
+ (VALUE(REGEXEXTRACT(INDIRECT(""A""&amp;ROW()+1),""\d+""))-1)*7
+ INT((COLUMN()-COLUMN($B67))/3)
"),47524)</f>
        <v>47524</v>
      </c>
      <c r="C67" s="81"/>
      <c r="D67" s="82"/>
      <c r="E67" s="77">
        <f ca="1">IFERROR(__xludf.DUMMYFUNCTION("DATE(VALUE(LEFT($B$2,4)),VALUE(MID($B$2,6,2)),VALUE(RIGHT($B$2,2)))
+ (VALUE(REGEXEXTRACT(INDIRECT(""A""&amp;ROW()+1),""\d+""))-1)*7
+ INT((COLUMN()-COLUMN($B67))/3)
"),47525)</f>
        <v>47525</v>
      </c>
      <c r="F67" s="81"/>
      <c r="G67" s="82"/>
      <c r="H67" s="77">
        <f ca="1">IFERROR(__xludf.DUMMYFUNCTION("DATE(VALUE(LEFT($B$2,4)),VALUE(MID($B$2,6,2)),VALUE(RIGHT($B$2,2)))
+ (VALUE(REGEXEXTRACT(INDIRECT(""A""&amp;ROW()+1),""\d+""))-1)*7
+ INT((COLUMN()-COLUMN($B67))/3)
"),47526)</f>
        <v>47526</v>
      </c>
      <c r="I67" s="81"/>
      <c r="J67" s="82"/>
      <c r="K67" s="77">
        <f ca="1">IFERROR(__xludf.DUMMYFUNCTION("DATE(VALUE(LEFT($B$2,4)),VALUE(MID($B$2,6,2)),VALUE(RIGHT($B$2,2)))
+ (VALUE(REGEXEXTRACT(INDIRECT(""A""&amp;ROW()+1),""\d+""))-1)*7
+ INT((COLUMN()-COLUMN($B67))/3)
"),47527)</f>
        <v>47527</v>
      </c>
      <c r="L67" s="81"/>
      <c r="M67" s="82"/>
      <c r="N67" s="77">
        <f ca="1">IFERROR(__xludf.DUMMYFUNCTION("DATE(VALUE(LEFT($B$2,4)),VALUE(MID($B$2,6,2)),VALUE(RIGHT($B$2,2)))
+ (VALUE(REGEXEXTRACT(INDIRECT(""A""&amp;ROW()+1),""\d+""))-1)*7
+ INT((COLUMN()-COLUMN($B67))/3)
"),47528)</f>
        <v>47528</v>
      </c>
      <c r="O67" s="81"/>
      <c r="P67" s="82"/>
      <c r="Q67" s="77">
        <f ca="1">IFERROR(__xludf.DUMMYFUNCTION("DATE(VALUE(LEFT($B$2,4)),VALUE(MID($B$2,6,2)),VALUE(RIGHT($B$2,2)))
+ (VALUE(REGEXEXTRACT(INDIRECT(""A""&amp;ROW()+1),""\d+""))-1)*7
+ INT((COLUMN()-COLUMN($B67))/3)
"),47529)</f>
        <v>47529</v>
      </c>
      <c r="R67" s="81"/>
      <c r="S67" s="82"/>
      <c r="T67" s="77">
        <f ca="1">IFERROR(__xludf.DUMMYFUNCTION("DATE(VALUE(LEFT($B$2,4)),VALUE(MID($B$2,6,2)),VALUE(RIGHT($B$2,2)))
+ (VALUE(REGEXEXTRACT(INDIRECT(""A""&amp;ROW()+1),""\d+""))-1)*7
+ INT((COLUMN()-COLUMN($B67))/3)
"),47530)</f>
        <v>47530</v>
      </c>
      <c r="U67" s="81"/>
      <c r="V67" s="82"/>
      <c r="W67" s="52" t="s">
        <v>20</v>
      </c>
    </row>
    <row r="68" spans="1:23" ht="17.25" customHeight="1">
      <c r="A68" s="47" t="s">
        <v>142</v>
      </c>
      <c r="B68" s="113"/>
      <c r="C68" s="109"/>
      <c r="D68" s="42">
        <f>V66+C68</f>
        <v>-1459</v>
      </c>
      <c r="E68" s="112"/>
      <c r="F68" s="111"/>
      <c r="G68" s="36">
        <f>D78+F68</f>
        <v>-1459</v>
      </c>
      <c r="H68" s="132"/>
      <c r="I68" s="109"/>
      <c r="J68" s="42">
        <f>G78+I68</f>
        <v>-1459</v>
      </c>
      <c r="K68" s="112"/>
      <c r="L68" s="111"/>
      <c r="M68" s="18">
        <f>J78+L68</f>
        <v>-1459</v>
      </c>
      <c r="N68" s="113"/>
      <c r="O68" s="109"/>
      <c r="P68" s="35">
        <f>M78+O68</f>
        <v>-1459</v>
      </c>
      <c r="Q68" s="112"/>
      <c r="R68" s="111"/>
      <c r="S68" s="18">
        <f>P78+R68</f>
        <v>-1459</v>
      </c>
      <c r="T68" s="113"/>
      <c r="U68" s="109"/>
      <c r="V68" s="50">
        <f>S78+U68</f>
        <v>-1459</v>
      </c>
      <c r="W68" s="172"/>
    </row>
    <row r="69" spans="1:23" ht="15" customHeight="1">
      <c r="A69" s="114"/>
      <c r="B69" s="118"/>
      <c r="C69" s="117"/>
      <c r="D69" s="19">
        <f t="shared" ref="D69:D78" si="42">D68+C69</f>
        <v>-1459</v>
      </c>
      <c r="E69" s="106"/>
      <c r="F69" s="107"/>
      <c r="G69" s="26">
        <f t="shared" ref="G69:G78" si="43">G68+F69</f>
        <v>-1459</v>
      </c>
      <c r="H69" s="133"/>
      <c r="I69" s="117"/>
      <c r="J69" s="19">
        <f t="shared" ref="J69:J78" si="44">J68+I69</f>
        <v>-1459</v>
      </c>
      <c r="K69" s="106"/>
      <c r="L69" s="107"/>
      <c r="M69" s="26">
        <f t="shared" ref="M69:M78" si="45">M68+L69</f>
        <v>-1459</v>
      </c>
      <c r="N69" s="118"/>
      <c r="O69" s="117"/>
      <c r="P69" s="38">
        <f t="shared" ref="P69:P78" si="46">P68+O69</f>
        <v>-1459</v>
      </c>
      <c r="Q69" s="106"/>
      <c r="R69" s="107"/>
      <c r="S69" s="26">
        <f t="shared" ref="S69:S78" si="47">S68+R69</f>
        <v>-1459</v>
      </c>
      <c r="T69" s="117"/>
      <c r="U69" s="117"/>
      <c r="V69" s="45">
        <f t="shared" ref="V69:V78" si="48">V68+U69</f>
        <v>-1459</v>
      </c>
      <c r="W69" s="143"/>
    </row>
    <row r="70" spans="1:23" ht="15" customHeight="1">
      <c r="A70" s="114"/>
      <c r="B70" s="118"/>
      <c r="C70" s="117"/>
      <c r="D70" s="19">
        <f t="shared" si="42"/>
        <v>-1459</v>
      </c>
      <c r="E70" s="106"/>
      <c r="F70" s="107"/>
      <c r="G70" s="26">
        <f t="shared" si="43"/>
        <v>-1459</v>
      </c>
      <c r="H70" s="133"/>
      <c r="I70" s="117"/>
      <c r="J70" s="19">
        <f t="shared" si="44"/>
        <v>-1459</v>
      </c>
      <c r="K70" s="106"/>
      <c r="L70" s="107"/>
      <c r="M70" s="26">
        <f t="shared" si="45"/>
        <v>-1459</v>
      </c>
      <c r="N70" s="117"/>
      <c r="O70" s="117"/>
      <c r="P70" s="38">
        <f t="shared" si="46"/>
        <v>-1459</v>
      </c>
      <c r="Q70" s="106"/>
      <c r="R70" s="107"/>
      <c r="S70" s="26">
        <f t="shared" si="47"/>
        <v>-1459</v>
      </c>
      <c r="T70" s="117"/>
      <c r="U70" s="117"/>
      <c r="V70" s="45">
        <f t="shared" si="48"/>
        <v>-1459</v>
      </c>
      <c r="W70" s="143"/>
    </row>
    <row r="71" spans="1:23" ht="15" customHeight="1">
      <c r="A71" s="114"/>
      <c r="B71" s="118"/>
      <c r="C71" s="117"/>
      <c r="D71" s="19">
        <f t="shared" si="42"/>
        <v>-1459</v>
      </c>
      <c r="E71" s="106"/>
      <c r="F71" s="107"/>
      <c r="G71" s="26">
        <f t="shared" si="43"/>
        <v>-1459</v>
      </c>
      <c r="H71" s="117"/>
      <c r="I71" s="117"/>
      <c r="J71" s="19">
        <f t="shared" si="44"/>
        <v>-1459</v>
      </c>
      <c r="K71" s="106"/>
      <c r="L71" s="107"/>
      <c r="M71" s="26">
        <f t="shared" si="45"/>
        <v>-1459</v>
      </c>
      <c r="N71" s="117"/>
      <c r="O71" s="117"/>
      <c r="P71" s="38">
        <f t="shared" si="46"/>
        <v>-1459</v>
      </c>
      <c r="Q71" s="106"/>
      <c r="R71" s="107"/>
      <c r="S71" s="26">
        <f t="shared" si="47"/>
        <v>-1459</v>
      </c>
      <c r="T71" s="117"/>
      <c r="U71" s="117"/>
      <c r="V71" s="45">
        <f t="shared" si="48"/>
        <v>-1459</v>
      </c>
      <c r="W71" s="143"/>
    </row>
    <row r="72" spans="1:23" ht="15" customHeight="1">
      <c r="A72" s="114"/>
      <c r="B72" s="118"/>
      <c r="C72" s="117"/>
      <c r="D72" s="19">
        <f t="shared" si="42"/>
        <v>-1459</v>
      </c>
      <c r="E72" s="106"/>
      <c r="F72" s="107"/>
      <c r="G72" s="26">
        <f t="shared" si="43"/>
        <v>-1459</v>
      </c>
      <c r="H72" s="117"/>
      <c r="I72" s="117"/>
      <c r="J72" s="19">
        <f t="shared" si="44"/>
        <v>-1459</v>
      </c>
      <c r="K72" s="106"/>
      <c r="L72" s="107"/>
      <c r="M72" s="26">
        <f t="shared" si="45"/>
        <v>-1459</v>
      </c>
      <c r="N72" s="117"/>
      <c r="O72" s="117"/>
      <c r="P72" s="38">
        <f t="shared" si="46"/>
        <v>-1459</v>
      </c>
      <c r="Q72" s="106"/>
      <c r="R72" s="107"/>
      <c r="S72" s="26">
        <f t="shared" si="47"/>
        <v>-1459</v>
      </c>
      <c r="T72" s="136"/>
      <c r="U72" s="136"/>
      <c r="V72" s="45">
        <f t="shared" si="48"/>
        <v>-1459</v>
      </c>
      <c r="W72" s="143"/>
    </row>
    <row r="73" spans="1:23" ht="15" customHeight="1">
      <c r="A73" s="114"/>
      <c r="B73" s="118"/>
      <c r="C73" s="117"/>
      <c r="D73" s="19">
        <f t="shared" si="42"/>
        <v>-1459</v>
      </c>
      <c r="E73" s="106"/>
      <c r="F73" s="107"/>
      <c r="G73" s="26">
        <f t="shared" si="43"/>
        <v>-1459</v>
      </c>
      <c r="H73" s="117"/>
      <c r="I73" s="117"/>
      <c r="J73" s="19">
        <f t="shared" si="44"/>
        <v>-1459</v>
      </c>
      <c r="K73" s="106"/>
      <c r="L73" s="107"/>
      <c r="M73" s="26">
        <f t="shared" si="45"/>
        <v>-1459</v>
      </c>
      <c r="N73" s="117"/>
      <c r="O73" s="117"/>
      <c r="P73" s="38">
        <f t="shared" si="46"/>
        <v>-1459</v>
      </c>
      <c r="Q73" s="106"/>
      <c r="R73" s="107"/>
      <c r="S73" s="26">
        <f t="shared" si="47"/>
        <v>-1459</v>
      </c>
      <c r="T73" s="136"/>
      <c r="U73" s="136"/>
      <c r="V73" s="45">
        <f t="shared" si="48"/>
        <v>-1459</v>
      </c>
      <c r="W73" s="143"/>
    </row>
    <row r="74" spans="1:23" ht="15" customHeight="1">
      <c r="A74" s="114"/>
      <c r="B74" s="117"/>
      <c r="C74" s="117"/>
      <c r="D74" s="19">
        <f t="shared" si="42"/>
        <v>-1459</v>
      </c>
      <c r="E74" s="106"/>
      <c r="F74" s="107"/>
      <c r="G74" s="26">
        <f t="shared" si="43"/>
        <v>-1459</v>
      </c>
      <c r="H74" s="117"/>
      <c r="I74" s="117"/>
      <c r="J74" s="19">
        <f t="shared" si="44"/>
        <v>-1459</v>
      </c>
      <c r="K74" s="106"/>
      <c r="L74" s="107"/>
      <c r="M74" s="26">
        <f t="shared" si="45"/>
        <v>-1459</v>
      </c>
      <c r="N74" s="117"/>
      <c r="O74" s="117"/>
      <c r="P74" s="38">
        <f t="shared" si="46"/>
        <v>-1459</v>
      </c>
      <c r="Q74" s="106"/>
      <c r="R74" s="107"/>
      <c r="S74" s="26">
        <f t="shared" si="47"/>
        <v>-1459</v>
      </c>
      <c r="T74" s="133"/>
      <c r="U74" s="117"/>
      <c r="V74" s="45">
        <f t="shared" si="48"/>
        <v>-1459</v>
      </c>
      <c r="W74" s="143"/>
    </row>
    <row r="75" spans="1:23" ht="15" customHeight="1">
      <c r="A75" s="114"/>
      <c r="B75" s="117"/>
      <c r="C75" s="117"/>
      <c r="D75" s="19">
        <f t="shared" si="42"/>
        <v>-1459</v>
      </c>
      <c r="E75" s="106"/>
      <c r="F75" s="107"/>
      <c r="G75" s="26">
        <f t="shared" si="43"/>
        <v>-1459</v>
      </c>
      <c r="H75" s="117"/>
      <c r="I75" s="117"/>
      <c r="J75" s="19">
        <f t="shared" si="44"/>
        <v>-1459</v>
      </c>
      <c r="K75" s="106"/>
      <c r="L75" s="107"/>
      <c r="M75" s="26">
        <f t="shared" si="45"/>
        <v>-1459</v>
      </c>
      <c r="N75" s="117"/>
      <c r="O75" s="117"/>
      <c r="P75" s="38">
        <f t="shared" si="46"/>
        <v>-1459</v>
      </c>
      <c r="Q75" s="106"/>
      <c r="R75" s="107"/>
      <c r="S75" s="26">
        <f t="shared" si="47"/>
        <v>-1459</v>
      </c>
      <c r="T75" s="133"/>
      <c r="U75" s="117"/>
      <c r="V75" s="45">
        <f t="shared" si="48"/>
        <v>-1459</v>
      </c>
      <c r="W75" s="143"/>
    </row>
    <row r="76" spans="1:23" ht="15" customHeight="1">
      <c r="A76" s="114"/>
      <c r="B76" s="117"/>
      <c r="C76" s="117"/>
      <c r="D76" s="19">
        <f t="shared" si="42"/>
        <v>-1459</v>
      </c>
      <c r="E76" s="106"/>
      <c r="F76" s="107"/>
      <c r="G76" s="26">
        <f t="shared" si="43"/>
        <v>-1459</v>
      </c>
      <c r="H76" s="117"/>
      <c r="I76" s="117"/>
      <c r="J76" s="19">
        <f t="shared" si="44"/>
        <v>-1459</v>
      </c>
      <c r="K76" s="106"/>
      <c r="L76" s="107"/>
      <c r="M76" s="26">
        <f t="shared" si="45"/>
        <v>-1459</v>
      </c>
      <c r="N76" s="117"/>
      <c r="O76" s="117"/>
      <c r="P76" s="38">
        <f t="shared" si="46"/>
        <v>-1459</v>
      </c>
      <c r="Q76" s="106"/>
      <c r="R76" s="107"/>
      <c r="S76" s="26">
        <f t="shared" si="47"/>
        <v>-1459</v>
      </c>
      <c r="T76" s="117"/>
      <c r="U76" s="117"/>
      <c r="V76" s="45">
        <f t="shared" si="48"/>
        <v>-1459</v>
      </c>
      <c r="W76" s="143"/>
    </row>
    <row r="77" spans="1:23" ht="15" customHeight="1">
      <c r="A77" s="114"/>
      <c r="B77" s="117"/>
      <c r="C77" s="117"/>
      <c r="D77" s="19">
        <f t="shared" si="42"/>
        <v>-1459</v>
      </c>
      <c r="E77" s="122"/>
      <c r="F77" s="123"/>
      <c r="G77" s="26">
        <f t="shared" si="43"/>
        <v>-1459</v>
      </c>
      <c r="H77" s="133"/>
      <c r="I77" s="117"/>
      <c r="J77" s="19">
        <f t="shared" si="44"/>
        <v>-1459</v>
      </c>
      <c r="K77" s="122"/>
      <c r="L77" s="123"/>
      <c r="M77" s="26">
        <f t="shared" si="45"/>
        <v>-1459</v>
      </c>
      <c r="N77" s="117"/>
      <c r="O77" s="117"/>
      <c r="P77" s="38">
        <f t="shared" si="46"/>
        <v>-1459</v>
      </c>
      <c r="Q77" s="122"/>
      <c r="R77" s="123"/>
      <c r="S77" s="26">
        <f t="shared" si="47"/>
        <v>-1459</v>
      </c>
      <c r="T77" s="136"/>
      <c r="U77" s="136"/>
      <c r="V77" s="45">
        <f t="shared" si="48"/>
        <v>-1459</v>
      </c>
      <c r="W77" s="143"/>
    </row>
    <row r="78" spans="1:23" ht="15" customHeight="1">
      <c r="A78" s="114"/>
      <c r="B78" s="128"/>
      <c r="C78" s="128"/>
      <c r="D78" s="29">
        <f t="shared" si="42"/>
        <v>-1459</v>
      </c>
      <c r="E78" s="122"/>
      <c r="F78" s="123"/>
      <c r="G78" s="53">
        <f t="shared" si="43"/>
        <v>-1459</v>
      </c>
      <c r="H78" s="140"/>
      <c r="I78" s="128"/>
      <c r="J78" s="29">
        <f t="shared" si="44"/>
        <v>-1459</v>
      </c>
      <c r="K78" s="122"/>
      <c r="L78" s="123"/>
      <c r="M78" s="39">
        <f t="shared" si="45"/>
        <v>-1459</v>
      </c>
      <c r="N78" s="128"/>
      <c r="O78" s="128"/>
      <c r="P78" s="40">
        <f t="shared" si="46"/>
        <v>-1459</v>
      </c>
      <c r="Q78" s="122"/>
      <c r="R78" s="123"/>
      <c r="S78" s="39">
        <f t="shared" si="47"/>
        <v>-1459</v>
      </c>
      <c r="T78" s="141"/>
      <c r="U78" s="141"/>
      <c r="V78" s="46">
        <f t="shared" si="48"/>
        <v>-1459</v>
      </c>
      <c r="W78" s="143"/>
    </row>
    <row r="79" spans="1:23" ht="17.25" customHeight="1">
      <c r="A79" s="87"/>
      <c r="B79" s="77">
        <f ca="1">IFERROR(__xludf.DUMMYFUNCTION("DATE(VALUE(LEFT($B$2,4)),VALUE(MID($B$2,6,2)),VALUE(RIGHT($B$2,2)))
+ (VALUE(REGEXEXTRACT(INDIRECT(""A""&amp;ROW()+1),""\d+""))-1)*7
+ INT((COLUMN()-COLUMN($B79))/3)
"),47531)</f>
        <v>47531</v>
      </c>
      <c r="C79" s="81"/>
      <c r="D79" s="82"/>
      <c r="E79" s="77">
        <f ca="1">IFERROR(__xludf.DUMMYFUNCTION("DATE(VALUE(LEFT($B$2,4)),VALUE(MID($B$2,6,2)),VALUE(RIGHT($B$2,2)))
+ (VALUE(REGEXEXTRACT(INDIRECT(""A""&amp;ROW()+1),""\d+""))-1)*7
+ INT((COLUMN()-COLUMN($B79))/3)
"),47532)</f>
        <v>47532</v>
      </c>
      <c r="F79" s="81"/>
      <c r="G79" s="82"/>
      <c r="H79" s="77">
        <f ca="1">IFERROR(__xludf.DUMMYFUNCTION("DATE(VALUE(LEFT($B$2,4)),VALUE(MID($B$2,6,2)),VALUE(RIGHT($B$2,2)))
+ (VALUE(REGEXEXTRACT(INDIRECT(""A""&amp;ROW()+1),""\d+""))-1)*7
+ INT((COLUMN()-COLUMN($B79))/3)
"),47533)</f>
        <v>47533</v>
      </c>
      <c r="I79" s="81"/>
      <c r="J79" s="82"/>
      <c r="K79" s="77">
        <f ca="1">IFERROR(__xludf.DUMMYFUNCTION("DATE(VALUE(LEFT($B$2,4)),VALUE(MID($B$2,6,2)),VALUE(RIGHT($B$2,2)))
+ (VALUE(REGEXEXTRACT(INDIRECT(""A""&amp;ROW()+1),""\d+""))-1)*7
+ INT((COLUMN()-COLUMN($B79))/3)
"),47534)</f>
        <v>47534</v>
      </c>
      <c r="L79" s="81"/>
      <c r="M79" s="82"/>
      <c r="N79" s="77">
        <f ca="1">IFERROR(__xludf.DUMMYFUNCTION("DATE(VALUE(LEFT($B$2,4)),VALUE(MID($B$2,6,2)),VALUE(RIGHT($B$2,2)))
+ (VALUE(REGEXEXTRACT(INDIRECT(""A""&amp;ROW()+1),""\d+""))-1)*7
+ INT((COLUMN()-COLUMN($B79))/3)
"),47535)</f>
        <v>47535</v>
      </c>
      <c r="O79" s="81"/>
      <c r="P79" s="82"/>
      <c r="Q79" s="77">
        <f ca="1">IFERROR(__xludf.DUMMYFUNCTION("DATE(VALUE(LEFT($B$2,4)),VALUE(MID($B$2,6,2)),VALUE(RIGHT($B$2,2)))
+ (VALUE(REGEXEXTRACT(INDIRECT(""A""&amp;ROW()+1),""\d+""))-1)*7
+ INT((COLUMN()-COLUMN($B79))/3)
"),47536)</f>
        <v>47536</v>
      </c>
      <c r="R79" s="81"/>
      <c r="S79" s="82"/>
      <c r="T79" s="77">
        <f ca="1">IFERROR(__xludf.DUMMYFUNCTION("DATE(VALUE(LEFT($B$2,4)),VALUE(MID($B$2,6,2)),VALUE(RIGHT($B$2,2)))
+ (VALUE(REGEXEXTRACT(INDIRECT(""A""&amp;ROW()+1),""\d+""))-1)*7
+ INT((COLUMN()-COLUMN($B79))/3)
"),47537)</f>
        <v>47537</v>
      </c>
      <c r="U79" s="81"/>
      <c r="V79" s="82"/>
      <c r="W79" s="143"/>
    </row>
    <row r="80" spans="1:23" ht="15" customHeight="1">
      <c r="A80" s="51" t="s">
        <v>143</v>
      </c>
      <c r="B80" s="112"/>
      <c r="C80" s="111"/>
      <c r="D80" s="17">
        <f>V78+C80</f>
        <v>-1459</v>
      </c>
      <c r="E80" s="109"/>
      <c r="F80" s="109"/>
      <c r="G80" s="42">
        <f>D90+F80</f>
        <v>-1459</v>
      </c>
      <c r="H80" s="112"/>
      <c r="I80" s="111"/>
      <c r="J80" s="17">
        <f>G90+I80</f>
        <v>-1459</v>
      </c>
      <c r="K80" s="173"/>
      <c r="L80" s="109"/>
      <c r="M80" s="35">
        <f>J90+L80</f>
        <v>-1459</v>
      </c>
      <c r="N80" s="112"/>
      <c r="O80" s="111"/>
      <c r="P80" s="17">
        <f>M90+O80</f>
        <v>-1459</v>
      </c>
      <c r="Q80" s="109"/>
      <c r="R80" s="109"/>
      <c r="S80" s="35">
        <f>P90+R80</f>
        <v>-1459</v>
      </c>
      <c r="T80" s="112"/>
      <c r="U80" s="111"/>
      <c r="V80" s="48">
        <f>S90+U80</f>
        <v>-1459</v>
      </c>
      <c r="W80" s="143"/>
    </row>
    <row r="81" spans="1:26" ht="15" customHeight="1">
      <c r="A81" s="114"/>
      <c r="B81" s="106"/>
      <c r="C81" s="107"/>
      <c r="D81" s="26">
        <f t="shared" ref="D81:D90" si="49">D80+C81</f>
        <v>-1459</v>
      </c>
      <c r="E81" s="117"/>
      <c r="F81" s="117"/>
      <c r="G81" s="19">
        <f t="shared" ref="G81:G90" si="50">G80+F81</f>
        <v>-1459</v>
      </c>
      <c r="H81" s="106"/>
      <c r="I81" s="107"/>
      <c r="J81" s="26">
        <f t="shared" ref="J81:J90" si="51">J80+I81</f>
        <v>-1459</v>
      </c>
      <c r="K81" s="136"/>
      <c r="L81" s="136"/>
      <c r="M81" s="38">
        <f t="shared" ref="M81:M90" si="52">M80+L81</f>
        <v>-1459</v>
      </c>
      <c r="N81" s="106"/>
      <c r="O81" s="107"/>
      <c r="P81" s="26">
        <f t="shared" ref="P81:P90" si="53">P80+O81</f>
        <v>-1459</v>
      </c>
      <c r="Q81" s="117"/>
      <c r="R81" s="117"/>
      <c r="S81" s="38">
        <f t="shared" ref="S81:S90" si="54">S80+R81</f>
        <v>-1459</v>
      </c>
      <c r="T81" s="106"/>
      <c r="U81" s="107"/>
      <c r="V81" s="20">
        <f t="shared" ref="V81:V90" si="55">V80+U81</f>
        <v>-1459</v>
      </c>
      <c r="W81" s="143"/>
    </row>
    <row r="82" spans="1:26" ht="15" customHeight="1">
      <c r="A82" s="114"/>
      <c r="B82" s="106"/>
      <c r="C82" s="107"/>
      <c r="D82" s="26">
        <f t="shared" si="49"/>
        <v>-1459</v>
      </c>
      <c r="E82" s="117"/>
      <c r="F82" s="117"/>
      <c r="G82" s="19">
        <f t="shared" si="50"/>
        <v>-1459</v>
      </c>
      <c r="H82" s="106"/>
      <c r="I82" s="107"/>
      <c r="J82" s="26">
        <f t="shared" si="51"/>
        <v>-1459</v>
      </c>
      <c r="K82" s="136"/>
      <c r="L82" s="136"/>
      <c r="M82" s="38">
        <f t="shared" si="52"/>
        <v>-1459</v>
      </c>
      <c r="N82" s="106"/>
      <c r="O82" s="107"/>
      <c r="P82" s="26">
        <f t="shared" si="53"/>
        <v>-1459</v>
      </c>
      <c r="Q82" s="117"/>
      <c r="R82" s="117"/>
      <c r="S82" s="38">
        <f t="shared" si="54"/>
        <v>-1459</v>
      </c>
      <c r="T82" s="106"/>
      <c r="U82" s="107"/>
      <c r="V82" s="20">
        <f t="shared" si="55"/>
        <v>-1459</v>
      </c>
      <c r="W82" s="143"/>
    </row>
    <row r="83" spans="1:26" ht="15" customHeight="1">
      <c r="A83" s="114"/>
      <c r="B83" s="106"/>
      <c r="C83" s="107"/>
      <c r="D83" s="26">
        <f t="shared" si="49"/>
        <v>-1459</v>
      </c>
      <c r="E83" s="117"/>
      <c r="F83" s="117"/>
      <c r="G83" s="19">
        <f t="shared" si="50"/>
        <v>-1459</v>
      </c>
      <c r="H83" s="106"/>
      <c r="I83" s="107"/>
      <c r="J83" s="26">
        <f t="shared" si="51"/>
        <v>-1459</v>
      </c>
      <c r="K83" s="136"/>
      <c r="L83" s="136"/>
      <c r="M83" s="38">
        <f t="shared" si="52"/>
        <v>-1459</v>
      </c>
      <c r="N83" s="106"/>
      <c r="O83" s="107"/>
      <c r="P83" s="26">
        <f t="shared" si="53"/>
        <v>-1459</v>
      </c>
      <c r="Q83" s="117"/>
      <c r="R83" s="117"/>
      <c r="S83" s="38">
        <f t="shared" si="54"/>
        <v>-1459</v>
      </c>
      <c r="T83" s="106"/>
      <c r="U83" s="107"/>
      <c r="V83" s="20">
        <f t="shared" si="55"/>
        <v>-1459</v>
      </c>
      <c r="W83" s="143"/>
    </row>
    <row r="84" spans="1:26" ht="15" customHeight="1">
      <c r="A84" s="114"/>
      <c r="B84" s="106"/>
      <c r="C84" s="107"/>
      <c r="D84" s="26">
        <f t="shared" si="49"/>
        <v>-1459</v>
      </c>
      <c r="E84" s="117"/>
      <c r="F84" s="117"/>
      <c r="G84" s="19">
        <f t="shared" si="50"/>
        <v>-1459</v>
      </c>
      <c r="H84" s="106"/>
      <c r="I84" s="107"/>
      <c r="J84" s="26">
        <f t="shared" si="51"/>
        <v>-1459</v>
      </c>
      <c r="K84" s="136"/>
      <c r="L84" s="136"/>
      <c r="M84" s="38">
        <f t="shared" si="52"/>
        <v>-1459</v>
      </c>
      <c r="N84" s="106"/>
      <c r="O84" s="107"/>
      <c r="P84" s="26">
        <f t="shared" si="53"/>
        <v>-1459</v>
      </c>
      <c r="Q84" s="117"/>
      <c r="R84" s="117"/>
      <c r="S84" s="38">
        <f t="shared" si="54"/>
        <v>-1459</v>
      </c>
      <c r="T84" s="106"/>
      <c r="U84" s="107"/>
      <c r="V84" s="20">
        <f t="shared" si="55"/>
        <v>-1459</v>
      </c>
      <c r="W84" s="143"/>
    </row>
    <row r="85" spans="1:26" ht="15" customHeight="1">
      <c r="A85" s="114"/>
      <c r="B85" s="106"/>
      <c r="C85" s="107"/>
      <c r="D85" s="26">
        <f t="shared" si="49"/>
        <v>-1459</v>
      </c>
      <c r="E85" s="117"/>
      <c r="F85" s="117"/>
      <c r="G85" s="19">
        <f t="shared" si="50"/>
        <v>-1459</v>
      </c>
      <c r="H85" s="106"/>
      <c r="I85" s="107"/>
      <c r="J85" s="26">
        <f t="shared" si="51"/>
        <v>-1459</v>
      </c>
      <c r="K85" s="136"/>
      <c r="L85" s="136"/>
      <c r="M85" s="38">
        <f t="shared" si="52"/>
        <v>-1459</v>
      </c>
      <c r="N85" s="106"/>
      <c r="O85" s="107"/>
      <c r="P85" s="26">
        <f t="shared" si="53"/>
        <v>-1459</v>
      </c>
      <c r="Q85" s="117"/>
      <c r="R85" s="117"/>
      <c r="S85" s="38">
        <f t="shared" si="54"/>
        <v>-1459</v>
      </c>
      <c r="T85" s="106"/>
      <c r="U85" s="116"/>
      <c r="V85" s="20">
        <f t="shared" si="55"/>
        <v>-1459</v>
      </c>
      <c r="W85" s="143"/>
    </row>
    <row r="86" spans="1:26" ht="15" customHeight="1">
      <c r="A86" s="114"/>
      <c r="B86" s="106"/>
      <c r="C86" s="107"/>
      <c r="D86" s="26">
        <f t="shared" si="49"/>
        <v>-1459</v>
      </c>
      <c r="E86" s="117"/>
      <c r="F86" s="117"/>
      <c r="G86" s="19">
        <f t="shared" si="50"/>
        <v>-1459</v>
      </c>
      <c r="H86" s="106"/>
      <c r="I86" s="107"/>
      <c r="J86" s="26">
        <f t="shared" si="51"/>
        <v>-1459</v>
      </c>
      <c r="K86" s="136"/>
      <c r="L86" s="136"/>
      <c r="M86" s="38">
        <f t="shared" si="52"/>
        <v>-1459</v>
      </c>
      <c r="N86" s="106"/>
      <c r="O86" s="107"/>
      <c r="P86" s="26">
        <f t="shared" si="53"/>
        <v>-1459</v>
      </c>
      <c r="Q86" s="117"/>
      <c r="R86" s="117"/>
      <c r="S86" s="38">
        <f t="shared" si="54"/>
        <v>-1459</v>
      </c>
      <c r="T86" s="106"/>
      <c r="U86" s="116"/>
      <c r="V86" s="20">
        <f t="shared" si="55"/>
        <v>-1459</v>
      </c>
      <c r="W86" s="143"/>
    </row>
    <row r="87" spans="1:26" ht="15" customHeight="1">
      <c r="A87" s="114"/>
      <c r="B87" s="106"/>
      <c r="C87" s="107"/>
      <c r="D87" s="26">
        <f t="shared" si="49"/>
        <v>-1459</v>
      </c>
      <c r="E87" s="117"/>
      <c r="F87" s="117"/>
      <c r="G87" s="19">
        <f t="shared" si="50"/>
        <v>-1459</v>
      </c>
      <c r="H87" s="106"/>
      <c r="I87" s="107"/>
      <c r="J87" s="26">
        <f t="shared" si="51"/>
        <v>-1459</v>
      </c>
      <c r="K87" s="133"/>
      <c r="L87" s="117"/>
      <c r="M87" s="38">
        <f t="shared" si="52"/>
        <v>-1459</v>
      </c>
      <c r="N87" s="106"/>
      <c r="O87" s="107"/>
      <c r="P87" s="26">
        <f t="shared" si="53"/>
        <v>-1459</v>
      </c>
      <c r="Q87" s="117"/>
      <c r="R87" s="117"/>
      <c r="S87" s="38">
        <f t="shared" si="54"/>
        <v>-1459</v>
      </c>
      <c r="T87" s="106"/>
      <c r="U87" s="116"/>
      <c r="V87" s="20">
        <f t="shared" si="55"/>
        <v>-1459</v>
      </c>
      <c r="W87" s="143"/>
    </row>
    <row r="88" spans="1:26" ht="15" customHeight="1">
      <c r="A88" s="114"/>
      <c r="B88" s="106"/>
      <c r="C88" s="107"/>
      <c r="D88" s="26">
        <f t="shared" si="49"/>
        <v>-1459</v>
      </c>
      <c r="E88" s="117"/>
      <c r="F88" s="117"/>
      <c r="G88" s="19">
        <f t="shared" si="50"/>
        <v>-1459</v>
      </c>
      <c r="H88" s="122"/>
      <c r="I88" s="123"/>
      <c r="J88" s="26">
        <f t="shared" si="51"/>
        <v>-1459</v>
      </c>
      <c r="K88" s="117"/>
      <c r="L88" s="117"/>
      <c r="M88" s="38">
        <f t="shared" si="52"/>
        <v>-1459</v>
      </c>
      <c r="N88" s="122"/>
      <c r="O88" s="123"/>
      <c r="P88" s="26">
        <f t="shared" si="53"/>
        <v>-1459</v>
      </c>
      <c r="Q88" s="117"/>
      <c r="R88" s="117"/>
      <c r="S88" s="38">
        <f t="shared" si="54"/>
        <v>-1459</v>
      </c>
      <c r="T88" s="106"/>
      <c r="U88" s="116"/>
      <c r="V88" s="20">
        <f t="shared" si="55"/>
        <v>-1459</v>
      </c>
      <c r="W88" s="143"/>
    </row>
    <row r="89" spans="1:26" ht="15" customHeight="1">
      <c r="A89" s="114"/>
      <c r="B89" s="106"/>
      <c r="C89" s="107"/>
      <c r="D89" s="26">
        <f t="shared" si="49"/>
        <v>-1459</v>
      </c>
      <c r="E89" s="117"/>
      <c r="F89" s="117"/>
      <c r="G89" s="19">
        <f t="shared" si="50"/>
        <v>-1459</v>
      </c>
      <c r="H89" s="122"/>
      <c r="I89" s="123"/>
      <c r="J89" s="26">
        <f t="shared" si="51"/>
        <v>-1459</v>
      </c>
      <c r="K89" s="117"/>
      <c r="L89" s="117"/>
      <c r="M89" s="38">
        <f t="shared" si="52"/>
        <v>-1459</v>
      </c>
      <c r="N89" s="122"/>
      <c r="O89" s="123"/>
      <c r="P89" s="26">
        <f t="shared" si="53"/>
        <v>-1459</v>
      </c>
      <c r="Q89" s="117"/>
      <c r="R89" s="117"/>
      <c r="S89" s="38">
        <f t="shared" si="54"/>
        <v>-1459</v>
      </c>
      <c r="T89" s="122"/>
      <c r="U89" s="124"/>
      <c r="V89" s="20">
        <f t="shared" si="55"/>
        <v>-1459</v>
      </c>
      <c r="W89" s="143"/>
    </row>
    <row r="90" spans="1:26" ht="15" customHeight="1">
      <c r="A90" s="114"/>
      <c r="B90" s="122"/>
      <c r="C90" s="123"/>
      <c r="D90" s="39">
        <f t="shared" si="49"/>
        <v>-1459</v>
      </c>
      <c r="E90" s="128"/>
      <c r="F90" s="128"/>
      <c r="G90" s="29">
        <f t="shared" si="50"/>
        <v>-1459</v>
      </c>
      <c r="H90" s="122"/>
      <c r="I90" s="123"/>
      <c r="J90" s="39">
        <f t="shared" si="51"/>
        <v>-1459</v>
      </c>
      <c r="K90" s="128"/>
      <c r="L90" s="128"/>
      <c r="M90" s="40">
        <f t="shared" si="52"/>
        <v>-1459</v>
      </c>
      <c r="N90" s="122"/>
      <c r="O90" s="123"/>
      <c r="P90" s="39">
        <f t="shared" si="53"/>
        <v>-1459</v>
      </c>
      <c r="Q90" s="128"/>
      <c r="R90" s="128"/>
      <c r="S90" s="40">
        <f t="shared" si="54"/>
        <v>-1459</v>
      </c>
      <c r="T90" s="122"/>
      <c r="U90" s="123"/>
      <c r="V90" s="39">
        <f t="shared" si="55"/>
        <v>-1459</v>
      </c>
      <c r="W90" s="143"/>
    </row>
    <row r="91" spans="1:26" ht="15.75" customHeight="1">
      <c r="A91" s="87"/>
      <c r="B91" s="77">
        <f ca="1">IFERROR(__xludf.DUMMYFUNCTION("DATE(VALUE(LEFT($B$2,4)),VALUE(MID($B$2,6,2)),VALUE(RIGHT($B$2,2)))
+ (VALUE(REGEXEXTRACT(INDIRECT(""A""&amp;ROW()+1),""\d+""))-1)*7
+ INT((COLUMN()-COLUMN($B91))/3)
"),47538)</f>
        <v>47538</v>
      </c>
      <c r="C91" s="81"/>
      <c r="D91" s="82"/>
      <c r="E91" s="77">
        <f ca="1">IFERROR(__xludf.DUMMYFUNCTION("DATE(VALUE(LEFT($B$2,4)),VALUE(MID($B$2,6,2)),VALUE(RIGHT($B$2,2)))
+ (VALUE(REGEXEXTRACT(INDIRECT(""A""&amp;ROW()+1),""\d+""))-1)*7
+ INT((COLUMN()-COLUMN($B91))/3)
"),47539)</f>
        <v>47539</v>
      </c>
      <c r="F91" s="81"/>
      <c r="G91" s="82"/>
      <c r="H91" s="77">
        <f ca="1">IFERROR(__xludf.DUMMYFUNCTION("DATE(VALUE(LEFT($B$2,4)),VALUE(MID($B$2,6,2)),VALUE(RIGHT($B$2,2)))
+ (VALUE(REGEXEXTRACT(INDIRECT(""A""&amp;ROW()+1),""\d+""))-1)*7
+ INT((COLUMN()-COLUMN($B91))/3)
"),47540)</f>
        <v>47540</v>
      </c>
      <c r="I91" s="81"/>
      <c r="J91" s="82"/>
      <c r="K91" s="77">
        <f ca="1">IFERROR(__xludf.DUMMYFUNCTION("DATE(VALUE(LEFT($B$2,4)),VALUE(MID($B$2,6,2)),VALUE(RIGHT($B$2,2)))
+ (VALUE(REGEXEXTRACT(INDIRECT(""A""&amp;ROW()+1),""\d+""))-1)*7
+ INT((COLUMN()-COLUMN($B91))/3)
"),47541)</f>
        <v>47541</v>
      </c>
      <c r="L91" s="81"/>
      <c r="M91" s="82"/>
      <c r="N91" s="77">
        <f ca="1">IFERROR(__xludf.DUMMYFUNCTION("DATE(VALUE(LEFT($B$2,4)),VALUE(MID($B$2,6,2)),VALUE(RIGHT($B$2,2)))
+ (VALUE(REGEXEXTRACT(INDIRECT(""A""&amp;ROW()+1),""\d+""))-1)*7
+ INT((COLUMN()-COLUMN($B91))/3)
"),47542)</f>
        <v>47542</v>
      </c>
      <c r="O91" s="81"/>
      <c r="P91" s="82"/>
      <c r="Q91" s="77">
        <f ca="1">IFERROR(__xludf.DUMMYFUNCTION("DATE(VALUE(LEFT($B$2,4)),VALUE(MID($B$2,6,2)),VALUE(RIGHT($B$2,2)))
+ (VALUE(REGEXEXTRACT(INDIRECT(""A""&amp;ROW()+1),""\d+""))-1)*7
+ INT((COLUMN()-COLUMN($B91))/3)
"),47543)</f>
        <v>47543</v>
      </c>
      <c r="R91" s="81"/>
      <c r="S91" s="82"/>
      <c r="T91" s="77">
        <f ca="1">IFERROR(__xludf.DUMMYFUNCTION("DATE(VALUE(LEFT($B$2,4)),VALUE(MID($B$2,6,2)),VALUE(RIGHT($B$2,2)))
+ (VALUE(REGEXEXTRACT(INDIRECT(""A""&amp;ROW()+1),""\d+""))-1)*7
+ INT((COLUMN()-COLUMN($B91))/3)
"),47544)</f>
        <v>47544</v>
      </c>
      <c r="U91" s="81"/>
      <c r="V91" s="82"/>
      <c r="W91" s="52" t="s">
        <v>20</v>
      </c>
      <c r="X91" s="4"/>
      <c r="Y91" s="4"/>
      <c r="Z91" s="4"/>
    </row>
    <row r="92" spans="1:26" ht="15.75" customHeight="1">
      <c r="A92" s="47" t="s">
        <v>144</v>
      </c>
      <c r="B92" s="109"/>
      <c r="C92" s="109"/>
      <c r="D92" s="42">
        <f>V90+C92</f>
        <v>-1459</v>
      </c>
      <c r="E92" s="112"/>
      <c r="F92" s="111"/>
      <c r="G92" s="36">
        <f>D102+F92</f>
        <v>-1459</v>
      </c>
      <c r="H92" s="109"/>
      <c r="I92" s="109"/>
      <c r="J92" s="42">
        <f>G102+I92</f>
        <v>-1459</v>
      </c>
      <c r="K92" s="112"/>
      <c r="L92" s="111"/>
      <c r="M92" s="18">
        <f>J102+L92</f>
        <v>-1459</v>
      </c>
      <c r="N92" s="113"/>
      <c r="O92" s="109"/>
      <c r="P92" s="35">
        <f>M102+O92</f>
        <v>-1459</v>
      </c>
      <c r="Q92" s="110"/>
      <c r="R92" s="111"/>
      <c r="S92" s="18">
        <f>P102+R92</f>
        <v>-1459</v>
      </c>
      <c r="T92" s="113"/>
      <c r="U92" s="109"/>
      <c r="V92" s="50">
        <f>S102+U92</f>
        <v>-1459</v>
      </c>
      <c r="W92" s="172"/>
      <c r="X92" s="4"/>
      <c r="Y92" s="4"/>
      <c r="Z92" s="4"/>
    </row>
    <row r="93" spans="1:26" ht="15.75" customHeight="1">
      <c r="A93" s="114"/>
      <c r="B93" s="117"/>
      <c r="C93" s="117"/>
      <c r="D93" s="19">
        <f t="shared" ref="D93:D102" si="56">D92+C93</f>
        <v>-1459</v>
      </c>
      <c r="E93" s="106"/>
      <c r="F93" s="107"/>
      <c r="G93" s="26">
        <f t="shared" ref="G93:G102" si="57">G92+F93</f>
        <v>-1459</v>
      </c>
      <c r="H93" s="117"/>
      <c r="I93" s="117"/>
      <c r="J93" s="19">
        <f t="shared" ref="J93:J102" si="58">J92+I93</f>
        <v>-1459</v>
      </c>
      <c r="K93" s="106"/>
      <c r="L93" s="107"/>
      <c r="M93" s="26">
        <f t="shared" ref="M93:M102" si="59">M92+L93</f>
        <v>-1459</v>
      </c>
      <c r="N93" s="118"/>
      <c r="O93" s="117"/>
      <c r="P93" s="19">
        <f t="shared" ref="P93:P102" si="60">P92+O93</f>
        <v>-1459</v>
      </c>
      <c r="Q93" s="116"/>
      <c r="R93" s="107"/>
      <c r="S93" s="26">
        <f t="shared" ref="S93:S102" si="61">S92+R93</f>
        <v>-1459</v>
      </c>
      <c r="T93" s="136"/>
      <c r="U93" s="136"/>
      <c r="V93" s="45">
        <f t="shared" ref="V93:V102" si="62">V92+U93</f>
        <v>-1459</v>
      </c>
      <c r="W93" s="143"/>
      <c r="X93" s="4"/>
      <c r="Y93" s="4"/>
      <c r="Z93" s="4"/>
    </row>
    <row r="94" spans="1:26" ht="15.75" customHeight="1">
      <c r="A94" s="114"/>
      <c r="B94" s="117"/>
      <c r="C94" s="117"/>
      <c r="D94" s="19">
        <f t="shared" si="56"/>
        <v>-1459</v>
      </c>
      <c r="E94" s="106"/>
      <c r="F94" s="107"/>
      <c r="G94" s="26">
        <f t="shared" si="57"/>
        <v>-1459</v>
      </c>
      <c r="H94" s="117"/>
      <c r="I94" s="117"/>
      <c r="J94" s="19">
        <f t="shared" si="58"/>
        <v>-1459</v>
      </c>
      <c r="K94" s="106"/>
      <c r="L94" s="107"/>
      <c r="M94" s="26">
        <f t="shared" si="59"/>
        <v>-1459</v>
      </c>
      <c r="N94" s="117"/>
      <c r="O94" s="117"/>
      <c r="P94" s="19">
        <f t="shared" si="60"/>
        <v>-1459</v>
      </c>
      <c r="Q94" s="116"/>
      <c r="R94" s="107"/>
      <c r="S94" s="26">
        <f t="shared" si="61"/>
        <v>-1459</v>
      </c>
      <c r="T94" s="136"/>
      <c r="U94" s="136"/>
      <c r="V94" s="45">
        <f t="shared" si="62"/>
        <v>-1459</v>
      </c>
      <c r="W94" s="143"/>
      <c r="X94" s="4"/>
      <c r="Y94" s="4"/>
      <c r="Z94" s="4"/>
    </row>
    <row r="95" spans="1:26" ht="15.75" customHeight="1">
      <c r="A95" s="114"/>
      <c r="B95" s="117"/>
      <c r="C95" s="117"/>
      <c r="D95" s="19">
        <f t="shared" si="56"/>
        <v>-1459</v>
      </c>
      <c r="E95" s="106"/>
      <c r="F95" s="107"/>
      <c r="G95" s="26">
        <f t="shared" si="57"/>
        <v>-1459</v>
      </c>
      <c r="H95" s="117"/>
      <c r="I95" s="117"/>
      <c r="J95" s="19">
        <f t="shared" si="58"/>
        <v>-1459</v>
      </c>
      <c r="K95" s="106"/>
      <c r="L95" s="107"/>
      <c r="M95" s="26">
        <f t="shared" si="59"/>
        <v>-1459</v>
      </c>
      <c r="N95" s="117"/>
      <c r="O95" s="117"/>
      <c r="P95" s="19">
        <f t="shared" si="60"/>
        <v>-1459</v>
      </c>
      <c r="Q95" s="116"/>
      <c r="R95" s="107"/>
      <c r="S95" s="26">
        <f t="shared" si="61"/>
        <v>-1459</v>
      </c>
      <c r="T95" s="136"/>
      <c r="U95" s="136"/>
      <c r="V95" s="45">
        <f t="shared" si="62"/>
        <v>-1459</v>
      </c>
      <c r="W95" s="143"/>
      <c r="X95" s="4"/>
      <c r="Y95" s="4"/>
      <c r="Z95" s="4"/>
    </row>
    <row r="96" spans="1:26" ht="15.75" customHeight="1">
      <c r="A96" s="114"/>
      <c r="B96" s="117"/>
      <c r="C96" s="117"/>
      <c r="D96" s="19">
        <f t="shared" si="56"/>
        <v>-1459</v>
      </c>
      <c r="E96" s="106"/>
      <c r="F96" s="107"/>
      <c r="G96" s="26">
        <f t="shared" si="57"/>
        <v>-1459</v>
      </c>
      <c r="H96" s="117"/>
      <c r="I96" s="117"/>
      <c r="J96" s="19">
        <f t="shared" si="58"/>
        <v>-1459</v>
      </c>
      <c r="K96" s="106"/>
      <c r="L96" s="107"/>
      <c r="M96" s="26">
        <f t="shared" si="59"/>
        <v>-1459</v>
      </c>
      <c r="N96" s="117"/>
      <c r="O96" s="117"/>
      <c r="P96" s="19">
        <f t="shared" si="60"/>
        <v>-1459</v>
      </c>
      <c r="Q96" s="116"/>
      <c r="R96" s="107"/>
      <c r="S96" s="26">
        <f t="shared" si="61"/>
        <v>-1459</v>
      </c>
      <c r="T96" s="136"/>
      <c r="U96" s="136"/>
      <c r="V96" s="45">
        <f t="shared" si="62"/>
        <v>-1459</v>
      </c>
      <c r="W96" s="143"/>
      <c r="X96" s="4"/>
      <c r="Y96" s="4"/>
      <c r="Z96" s="4"/>
    </row>
    <row r="97" spans="1:26" ht="15.75" customHeight="1">
      <c r="A97" s="114"/>
      <c r="B97" s="118"/>
      <c r="C97" s="117"/>
      <c r="D97" s="19">
        <f t="shared" si="56"/>
        <v>-1459</v>
      </c>
      <c r="E97" s="106"/>
      <c r="F97" s="107"/>
      <c r="G97" s="26">
        <f t="shared" si="57"/>
        <v>-1459</v>
      </c>
      <c r="H97" s="133"/>
      <c r="I97" s="117"/>
      <c r="J97" s="19">
        <f t="shared" si="58"/>
        <v>-1459</v>
      </c>
      <c r="K97" s="106"/>
      <c r="L97" s="107"/>
      <c r="M97" s="26">
        <f t="shared" si="59"/>
        <v>-1459</v>
      </c>
      <c r="N97" s="117"/>
      <c r="O97" s="117"/>
      <c r="P97" s="19">
        <f t="shared" si="60"/>
        <v>-1459</v>
      </c>
      <c r="Q97" s="106"/>
      <c r="R97" s="107"/>
      <c r="S97" s="26">
        <f t="shared" si="61"/>
        <v>-1459</v>
      </c>
      <c r="T97" s="136"/>
      <c r="U97" s="136"/>
      <c r="V97" s="45">
        <f t="shared" si="62"/>
        <v>-1459</v>
      </c>
      <c r="W97" s="143"/>
      <c r="X97" s="4"/>
      <c r="Y97" s="4"/>
      <c r="Z97" s="4"/>
    </row>
    <row r="98" spans="1:26" ht="15.75" customHeight="1">
      <c r="A98" s="114"/>
      <c r="B98" s="117"/>
      <c r="C98" s="117"/>
      <c r="D98" s="19">
        <f t="shared" si="56"/>
        <v>-1459</v>
      </c>
      <c r="E98" s="106"/>
      <c r="F98" s="107"/>
      <c r="G98" s="26">
        <f t="shared" si="57"/>
        <v>-1459</v>
      </c>
      <c r="H98" s="133"/>
      <c r="I98" s="117"/>
      <c r="J98" s="19">
        <f t="shared" si="58"/>
        <v>-1459</v>
      </c>
      <c r="K98" s="106"/>
      <c r="L98" s="107"/>
      <c r="M98" s="26">
        <f t="shared" si="59"/>
        <v>-1459</v>
      </c>
      <c r="N98" s="117"/>
      <c r="O98" s="117"/>
      <c r="P98" s="38">
        <f t="shared" si="60"/>
        <v>-1459</v>
      </c>
      <c r="Q98" s="106"/>
      <c r="R98" s="107"/>
      <c r="S98" s="26">
        <f t="shared" si="61"/>
        <v>-1459</v>
      </c>
      <c r="T98" s="136"/>
      <c r="U98" s="136"/>
      <c r="V98" s="45">
        <f t="shared" si="62"/>
        <v>-1459</v>
      </c>
      <c r="W98" s="143"/>
      <c r="X98" s="4"/>
      <c r="Y98" s="4"/>
      <c r="Z98" s="4"/>
    </row>
    <row r="99" spans="1:26" ht="15.75" customHeight="1">
      <c r="A99" s="114"/>
      <c r="B99" s="117"/>
      <c r="C99" s="117"/>
      <c r="D99" s="19">
        <f t="shared" si="56"/>
        <v>-1459</v>
      </c>
      <c r="E99" s="106"/>
      <c r="F99" s="107"/>
      <c r="G99" s="26">
        <f t="shared" si="57"/>
        <v>-1459</v>
      </c>
      <c r="H99" s="133"/>
      <c r="I99" s="117"/>
      <c r="J99" s="19">
        <f t="shared" si="58"/>
        <v>-1459</v>
      </c>
      <c r="K99" s="106"/>
      <c r="L99" s="107"/>
      <c r="M99" s="26">
        <f t="shared" si="59"/>
        <v>-1459</v>
      </c>
      <c r="N99" s="117"/>
      <c r="O99" s="117"/>
      <c r="P99" s="38">
        <f t="shared" si="60"/>
        <v>-1459</v>
      </c>
      <c r="Q99" s="106"/>
      <c r="R99" s="107"/>
      <c r="S99" s="26">
        <f t="shared" si="61"/>
        <v>-1459</v>
      </c>
      <c r="T99" s="136"/>
      <c r="U99" s="136"/>
      <c r="V99" s="45">
        <f t="shared" si="62"/>
        <v>-1459</v>
      </c>
      <c r="W99" s="143"/>
      <c r="X99" s="4"/>
      <c r="Y99" s="4"/>
      <c r="Z99" s="4"/>
    </row>
    <row r="100" spans="1:26" ht="15.75" customHeight="1">
      <c r="A100" s="114"/>
      <c r="B100" s="117"/>
      <c r="C100" s="117"/>
      <c r="D100" s="19">
        <f t="shared" si="56"/>
        <v>-1459</v>
      </c>
      <c r="E100" s="106"/>
      <c r="F100" s="107"/>
      <c r="G100" s="26">
        <f t="shared" si="57"/>
        <v>-1459</v>
      </c>
      <c r="H100" s="133"/>
      <c r="I100" s="117"/>
      <c r="J100" s="19">
        <f t="shared" si="58"/>
        <v>-1459</v>
      </c>
      <c r="K100" s="106"/>
      <c r="L100" s="107"/>
      <c r="M100" s="26">
        <f t="shared" si="59"/>
        <v>-1459</v>
      </c>
      <c r="N100" s="117"/>
      <c r="O100" s="117"/>
      <c r="P100" s="38">
        <f t="shared" si="60"/>
        <v>-1459</v>
      </c>
      <c r="Q100" s="106"/>
      <c r="R100" s="107"/>
      <c r="S100" s="26">
        <f t="shared" si="61"/>
        <v>-1459</v>
      </c>
      <c r="T100" s="136"/>
      <c r="U100" s="136"/>
      <c r="V100" s="45">
        <f t="shared" si="62"/>
        <v>-1459</v>
      </c>
      <c r="W100" s="143"/>
      <c r="X100" s="4"/>
      <c r="Y100" s="4"/>
      <c r="Z100" s="4"/>
    </row>
    <row r="101" spans="1:26" ht="15.75" customHeight="1">
      <c r="A101" s="114"/>
      <c r="B101" s="117"/>
      <c r="C101" s="117"/>
      <c r="D101" s="19">
        <f t="shared" si="56"/>
        <v>-1459</v>
      </c>
      <c r="E101" s="122"/>
      <c r="F101" s="123"/>
      <c r="G101" s="26">
        <f t="shared" si="57"/>
        <v>-1459</v>
      </c>
      <c r="H101" s="133"/>
      <c r="I101" s="117"/>
      <c r="J101" s="19">
        <f t="shared" si="58"/>
        <v>-1459</v>
      </c>
      <c r="K101" s="122"/>
      <c r="L101" s="123"/>
      <c r="M101" s="26">
        <f t="shared" si="59"/>
        <v>-1459</v>
      </c>
      <c r="N101" s="117"/>
      <c r="O101" s="117"/>
      <c r="P101" s="38">
        <f t="shared" si="60"/>
        <v>-1459</v>
      </c>
      <c r="Q101" s="122"/>
      <c r="R101" s="123"/>
      <c r="S101" s="26">
        <f t="shared" si="61"/>
        <v>-1459</v>
      </c>
      <c r="T101" s="136"/>
      <c r="U101" s="136"/>
      <c r="V101" s="45">
        <f t="shared" si="62"/>
        <v>-1459</v>
      </c>
      <c r="W101" s="143"/>
      <c r="X101" s="4"/>
      <c r="Y101" s="4"/>
      <c r="Z101" s="4"/>
    </row>
    <row r="102" spans="1:26" ht="15.75" customHeight="1">
      <c r="A102" s="114"/>
      <c r="B102" s="128"/>
      <c r="C102" s="128"/>
      <c r="D102" s="29">
        <f t="shared" si="56"/>
        <v>-1459</v>
      </c>
      <c r="E102" s="122"/>
      <c r="F102" s="123"/>
      <c r="G102" s="53">
        <f t="shared" si="57"/>
        <v>-1459</v>
      </c>
      <c r="H102" s="140"/>
      <c r="I102" s="128"/>
      <c r="J102" s="29">
        <f t="shared" si="58"/>
        <v>-1459</v>
      </c>
      <c r="K102" s="122"/>
      <c r="L102" s="123"/>
      <c r="M102" s="39">
        <f t="shared" si="59"/>
        <v>-1459</v>
      </c>
      <c r="N102" s="128"/>
      <c r="O102" s="128"/>
      <c r="P102" s="40">
        <f t="shared" si="60"/>
        <v>-1459</v>
      </c>
      <c r="Q102" s="122"/>
      <c r="R102" s="123"/>
      <c r="S102" s="39">
        <f t="shared" si="61"/>
        <v>-1459</v>
      </c>
      <c r="T102" s="141"/>
      <c r="U102" s="141"/>
      <c r="V102" s="46">
        <f t="shared" si="62"/>
        <v>-1459</v>
      </c>
      <c r="W102" s="143"/>
      <c r="X102" s="4"/>
      <c r="Y102" s="4"/>
      <c r="Z102" s="4"/>
    </row>
    <row r="103" spans="1:26" ht="15.75" customHeight="1">
      <c r="A103" s="87"/>
      <c r="B103" s="77">
        <f ca="1">IFERROR(__xludf.DUMMYFUNCTION("DATE(VALUE(LEFT($B$2,4)),VALUE(MID($B$2,6,2)),VALUE(RIGHT($B$2,2)))
+ (VALUE(REGEXEXTRACT(INDIRECT(""A""&amp;ROW()+1),""\d+""))-1)*7
+ INT((COLUMN()-COLUMN($B103))/3)
"),47545)</f>
        <v>47545</v>
      </c>
      <c r="C103" s="81"/>
      <c r="D103" s="82"/>
      <c r="E103" s="77">
        <f ca="1">IFERROR(__xludf.DUMMYFUNCTION("DATE(VALUE(LEFT($B$2,4)),VALUE(MID($B$2,6,2)),VALUE(RIGHT($B$2,2)))
+ (VALUE(REGEXEXTRACT(INDIRECT(""A""&amp;ROW()+1),""\d+""))-1)*7
+ INT((COLUMN()-COLUMN($B103))/3)
"),47546)</f>
        <v>47546</v>
      </c>
      <c r="F103" s="81"/>
      <c r="G103" s="82"/>
      <c r="H103" s="77">
        <f ca="1">IFERROR(__xludf.DUMMYFUNCTION("DATE(VALUE(LEFT($B$2,4)),VALUE(MID($B$2,6,2)),VALUE(RIGHT($B$2,2)))
+ (VALUE(REGEXEXTRACT(INDIRECT(""A""&amp;ROW()+1),""\d+""))-1)*7
+ INT((COLUMN()-COLUMN($B103))/3)
"),47547)</f>
        <v>47547</v>
      </c>
      <c r="I103" s="81"/>
      <c r="J103" s="82"/>
      <c r="K103" s="77">
        <f ca="1">IFERROR(__xludf.DUMMYFUNCTION("DATE(VALUE(LEFT($B$2,4)),VALUE(MID($B$2,6,2)),VALUE(RIGHT($B$2,2)))
+ (VALUE(REGEXEXTRACT(INDIRECT(""A""&amp;ROW()+1),""\d+""))-1)*7
+ INT((COLUMN()-COLUMN($B103))/3)
"),47548)</f>
        <v>47548</v>
      </c>
      <c r="L103" s="81"/>
      <c r="M103" s="82"/>
      <c r="N103" s="77">
        <f ca="1">IFERROR(__xludf.DUMMYFUNCTION("DATE(VALUE(LEFT($B$2,4)),VALUE(MID($B$2,6,2)),VALUE(RIGHT($B$2,2)))
+ (VALUE(REGEXEXTRACT(INDIRECT(""A""&amp;ROW()+1),""\d+""))-1)*7
+ INT((COLUMN()-COLUMN($B103))/3)
"),47549)</f>
        <v>47549</v>
      </c>
      <c r="O103" s="81"/>
      <c r="P103" s="82"/>
      <c r="Q103" s="77">
        <f ca="1">IFERROR(__xludf.DUMMYFUNCTION("DATE(VALUE(LEFT($B$2,4)),VALUE(MID($B$2,6,2)),VALUE(RIGHT($B$2,2)))
+ (VALUE(REGEXEXTRACT(INDIRECT(""A""&amp;ROW()+1),""\d+""))-1)*7
+ INT((COLUMN()-COLUMN($B103))/3)
"),47550)</f>
        <v>47550</v>
      </c>
      <c r="R103" s="81"/>
      <c r="S103" s="82"/>
      <c r="T103" s="77">
        <f ca="1">IFERROR(__xludf.DUMMYFUNCTION("DATE(VALUE(LEFT($B$2,4)),VALUE(MID($B$2,6,2)),VALUE(RIGHT($B$2,2)))
+ (VALUE(REGEXEXTRACT(INDIRECT(""A""&amp;ROW()+1),""\d+""))-1)*7
+ INT((COLUMN()-COLUMN($B103))/3)
"),47551)</f>
        <v>47551</v>
      </c>
      <c r="U103" s="81"/>
      <c r="V103" s="82"/>
      <c r="W103" s="143"/>
      <c r="X103" s="4"/>
      <c r="Y103" s="4"/>
      <c r="Z103" s="4"/>
    </row>
    <row r="104" spans="1:26" ht="15.75" customHeight="1">
      <c r="A104" s="51" t="s">
        <v>145</v>
      </c>
      <c r="B104" s="112"/>
      <c r="C104" s="111"/>
      <c r="D104" s="17">
        <f>V102+C104</f>
        <v>-1459</v>
      </c>
      <c r="E104" s="109"/>
      <c r="F104" s="109"/>
      <c r="G104" s="54">
        <f>D114+F104</f>
        <v>-1459</v>
      </c>
      <c r="H104" s="112"/>
      <c r="I104" s="111"/>
      <c r="J104" s="17">
        <f>G114+I104</f>
        <v>-1459</v>
      </c>
      <c r="K104" s="109"/>
      <c r="L104" s="109"/>
      <c r="M104" s="35">
        <f>J114+L104</f>
        <v>-1459</v>
      </c>
      <c r="N104" s="112"/>
      <c r="O104" s="111"/>
      <c r="P104" s="17">
        <f>M114+O104</f>
        <v>-1459</v>
      </c>
      <c r="Q104" s="109"/>
      <c r="R104" s="109"/>
      <c r="S104" s="35">
        <f>P114+R104</f>
        <v>-1459</v>
      </c>
      <c r="T104" s="112"/>
      <c r="U104" s="111"/>
      <c r="V104" s="48">
        <f>S114+U104</f>
        <v>-1459</v>
      </c>
      <c r="W104" s="143"/>
      <c r="X104" s="4"/>
      <c r="Y104" s="4"/>
      <c r="Z104" s="4"/>
    </row>
    <row r="105" spans="1:26" ht="15.75" customHeight="1">
      <c r="A105" s="114"/>
      <c r="B105" s="122"/>
      <c r="C105" s="123"/>
      <c r="D105" s="26">
        <f t="shared" ref="D105:D114" si="63">D104+C105</f>
        <v>-1459</v>
      </c>
      <c r="E105" s="117"/>
      <c r="F105" s="117"/>
      <c r="G105" s="19">
        <f t="shared" ref="G105:G114" si="64">G104+F105</f>
        <v>-1459</v>
      </c>
      <c r="H105" s="106"/>
      <c r="I105" s="107"/>
      <c r="J105" s="26">
        <f t="shared" ref="J105:J114" si="65">J104+I105</f>
        <v>-1459</v>
      </c>
      <c r="K105" s="117"/>
      <c r="L105" s="117"/>
      <c r="M105" s="38">
        <f t="shared" ref="M105:M114" si="66">M104+L105</f>
        <v>-1459</v>
      </c>
      <c r="N105" s="106"/>
      <c r="O105" s="107"/>
      <c r="P105" s="26">
        <f t="shared" ref="P105:P114" si="67">P104+O105</f>
        <v>-1459</v>
      </c>
      <c r="Q105" s="117"/>
      <c r="R105" s="117"/>
      <c r="S105" s="38">
        <f t="shared" ref="S105:S114" si="68">S104+R105</f>
        <v>-1459</v>
      </c>
      <c r="T105" s="106"/>
      <c r="U105" s="107"/>
      <c r="V105" s="20">
        <f t="shared" ref="V105:V114" si="69">V104+U105</f>
        <v>-1459</v>
      </c>
      <c r="W105" s="143"/>
      <c r="X105" s="4"/>
      <c r="Y105" s="4"/>
      <c r="Z105" s="4"/>
    </row>
    <row r="106" spans="1:26" ht="15.75" customHeight="1">
      <c r="A106" s="114"/>
      <c r="B106" s="122"/>
      <c r="C106" s="123"/>
      <c r="D106" s="26">
        <f t="shared" si="63"/>
        <v>-1459</v>
      </c>
      <c r="E106" s="117"/>
      <c r="F106" s="117"/>
      <c r="G106" s="19">
        <f t="shared" si="64"/>
        <v>-1459</v>
      </c>
      <c r="H106" s="106"/>
      <c r="I106" s="107"/>
      <c r="J106" s="26">
        <f t="shared" si="65"/>
        <v>-1459</v>
      </c>
      <c r="K106" s="117"/>
      <c r="L106" s="117"/>
      <c r="M106" s="38">
        <f t="shared" si="66"/>
        <v>-1459</v>
      </c>
      <c r="N106" s="106"/>
      <c r="O106" s="107"/>
      <c r="P106" s="26">
        <f t="shared" si="67"/>
        <v>-1459</v>
      </c>
      <c r="Q106" s="117"/>
      <c r="R106" s="117"/>
      <c r="S106" s="38">
        <f t="shared" si="68"/>
        <v>-1459</v>
      </c>
      <c r="T106" s="106"/>
      <c r="U106" s="116"/>
      <c r="V106" s="20">
        <f t="shared" si="69"/>
        <v>-1459</v>
      </c>
      <c r="W106" s="143"/>
      <c r="X106" s="4"/>
      <c r="Y106" s="4"/>
      <c r="Z106" s="4"/>
    </row>
    <row r="107" spans="1:26" ht="15.75" customHeight="1">
      <c r="A107" s="114"/>
      <c r="B107" s="122"/>
      <c r="C107" s="123"/>
      <c r="D107" s="26">
        <f t="shared" si="63"/>
        <v>-1459</v>
      </c>
      <c r="E107" s="117"/>
      <c r="F107" s="117"/>
      <c r="G107" s="19">
        <f t="shared" si="64"/>
        <v>-1459</v>
      </c>
      <c r="H107" s="106"/>
      <c r="I107" s="107"/>
      <c r="J107" s="26">
        <f t="shared" si="65"/>
        <v>-1459</v>
      </c>
      <c r="K107" s="117"/>
      <c r="L107" s="117"/>
      <c r="M107" s="38">
        <f t="shared" si="66"/>
        <v>-1459</v>
      </c>
      <c r="N107" s="106"/>
      <c r="O107" s="107"/>
      <c r="P107" s="26">
        <f t="shared" si="67"/>
        <v>-1459</v>
      </c>
      <c r="Q107" s="117"/>
      <c r="R107" s="117"/>
      <c r="S107" s="38">
        <f t="shared" si="68"/>
        <v>-1459</v>
      </c>
      <c r="T107" s="106"/>
      <c r="U107" s="116"/>
      <c r="V107" s="20">
        <f t="shared" si="69"/>
        <v>-1459</v>
      </c>
      <c r="W107" s="143"/>
      <c r="X107" s="4"/>
      <c r="Y107" s="4"/>
      <c r="Z107" s="4"/>
    </row>
    <row r="108" spans="1:26" ht="15.75" customHeight="1">
      <c r="A108" s="114"/>
      <c r="B108" s="122"/>
      <c r="C108" s="123"/>
      <c r="D108" s="26">
        <f t="shared" si="63"/>
        <v>-1459</v>
      </c>
      <c r="E108" s="117"/>
      <c r="F108" s="117"/>
      <c r="G108" s="19">
        <f t="shared" si="64"/>
        <v>-1459</v>
      </c>
      <c r="H108" s="106"/>
      <c r="I108" s="107"/>
      <c r="J108" s="26">
        <f t="shared" si="65"/>
        <v>-1459</v>
      </c>
      <c r="K108" s="117"/>
      <c r="L108" s="117"/>
      <c r="M108" s="38">
        <f t="shared" si="66"/>
        <v>-1459</v>
      </c>
      <c r="N108" s="106"/>
      <c r="O108" s="107"/>
      <c r="P108" s="26">
        <f t="shared" si="67"/>
        <v>-1459</v>
      </c>
      <c r="Q108" s="117"/>
      <c r="R108" s="117"/>
      <c r="S108" s="38">
        <f t="shared" si="68"/>
        <v>-1459</v>
      </c>
      <c r="T108" s="106"/>
      <c r="U108" s="116"/>
      <c r="V108" s="20">
        <f t="shared" si="69"/>
        <v>-1459</v>
      </c>
      <c r="W108" s="143"/>
      <c r="X108" s="4"/>
      <c r="Y108" s="4"/>
      <c r="Z108" s="4"/>
    </row>
    <row r="109" spans="1:26" ht="15.75" customHeight="1">
      <c r="A109" s="114"/>
      <c r="B109" s="122"/>
      <c r="C109" s="123"/>
      <c r="D109" s="26">
        <f t="shared" si="63"/>
        <v>-1459</v>
      </c>
      <c r="E109" s="117"/>
      <c r="F109" s="117"/>
      <c r="G109" s="19">
        <f t="shared" si="64"/>
        <v>-1459</v>
      </c>
      <c r="H109" s="106"/>
      <c r="I109" s="107"/>
      <c r="J109" s="26">
        <f t="shared" si="65"/>
        <v>-1459</v>
      </c>
      <c r="K109" s="117"/>
      <c r="L109" s="117"/>
      <c r="M109" s="38">
        <f t="shared" si="66"/>
        <v>-1459</v>
      </c>
      <c r="N109" s="106"/>
      <c r="O109" s="107"/>
      <c r="P109" s="26">
        <f t="shared" si="67"/>
        <v>-1459</v>
      </c>
      <c r="Q109" s="117"/>
      <c r="R109" s="117"/>
      <c r="S109" s="38">
        <f t="shared" si="68"/>
        <v>-1459</v>
      </c>
      <c r="T109" s="106"/>
      <c r="U109" s="116"/>
      <c r="V109" s="20">
        <f t="shared" si="69"/>
        <v>-1459</v>
      </c>
      <c r="W109" s="143"/>
      <c r="X109" s="4"/>
      <c r="Y109" s="4"/>
      <c r="Z109" s="4"/>
    </row>
    <row r="110" spans="1:26" ht="15.75" customHeight="1">
      <c r="A110" s="114"/>
      <c r="B110" s="122"/>
      <c r="C110" s="123"/>
      <c r="D110" s="26">
        <f t="shared" si="63"/>
        <v>-1459</v>
      </c>
      <c r="E110" s="117"/>
      <c r="F110" s="117"/>
      <c r="G110" s="19">
        <f t="shared" si="64"/>
        <v>-1459</v>
      </c>
      <c r="H110" s="106"/>
      <c r="I110" s="107"/>
      <c r="J110" s="26">
        <f t="shared" si="65"/>
        <v>-1459</v>
      </c>
      <c r="K110" s="117"/>
      <c r="L110" s="117"/>
      <c r="M110" s="38">
        <f t="shared" si="66"/>
        <v>-1459</v>
      </c>
      <c r="N110" s="106"/>
      <c r="O110" s="107"/>
      <c r="P110" s="26">
        <f t="shared" si="67"/>
        <v>-1459</v>
      </c>
      <c r="Q110" s="117"/>
      <c r="R110" s="117"/>
      <c r="S110" s="38">
        <f t="shared" si="68"/>
        <v>-1459</v>
      </c>
      <c r="T110" s="106"/>
      <c r="U110" s="116"/>
      <c r="V110" s="20">
        <f t="shared" si="69"/>
        <v>-1459</v>
      </c>
      <c r="W110" s="143"/>
      <c r="X110" s="4"/>
      <c r="Y110" s="4"/>
      <c r="Z110" s="4"/>
    </row>
    <row r="111" spans="1:26" ht="15.75" customHeight="1">
      <c r="A111" s="114"/>
      <c r="B111" s="122"/>
      <c r="C111" s="123"/>
      <c r="D111" s="26">
        <f t="shared" si="63"/>
        <v>-1459</v>
      </c>
      <c r="E111" s="117"/>
      <c r="F111" s="117"/>
      <c r="G111" s="19">
        <f t="shared" si="64"/>
        <v>-1459</v>
      </c>
      <c r="H111" s="106"/>
      <c r="I111" s="107"/>
      <c r="J111" s="26">
        <f t="shared" si="65"/>
        <v>-1459</v>
      </c>
      <c r="K111" s="117"/>
      <c r="L111" s="117"/>
      <c r="M111" s="38">
        <f t="shared" si="66"/>
        <v>-1459</v>
      </c>
      <c r="N111" s="106"/>
      <c r="O111" s="107"/>
      <c r="P111" s="26">
        <f t="shared" si="67"/>
        <v>-1459</v>
      </c>
      <c r="Q111" s="117"/>
      <c r="R111" s="117"/>
      <c r="S111" s="38">
        <f t="shared" si="68"/>
        <v>-1459</v>
      </c>
      <c r="T111" s="106"/>
      <c r="U111" s="116"/>
      <c r="V111" s="20">
        <f t="shared" si="69"/>
        <v>-1459</v>
      </c>
      <c r="W111" s="143"/>
      <c r="X111" s="4"/>
      <c r="Y111" s="4"/>
      <c r="Z111" s="4"/>
    </row>
    <row r="112" spans="1:26" ht="15.75" customHeight="1">
      <c r="A112" s="114"/>
      <c r="B112" s="122"/>
      <c r="C112" s="123"/>
      <c r="D112" s="26">
        <f t="shared" si="63"/>
        <v>-1459</v>
      </c>
      <c r="E112" s="117"/>
      <c r="F112" s="117"/>
      <c r="G112" s="19">
        <f t="shared" si="64"/>
        <v>-1459</v>
      </c>
      <c r="H112" s="106"/>
      <c r="I112" s="107"/>
      <c r="J112" s="26">
        <f t="shared" si="65"/>
        <v>-1459</v>
      </c>
      <c r="K112" s="117"/>
      <c r="L112" s="117"/>
      <c r="M112" s="38">
        <f t="shared" si="66"/>
        <v>-1459</v>
      </c>
      <c r="N112" s="122"/>
      <c r="O112" s="123"/>
      <c r="P112" s="26">
        <f t="shared" si="67"/>
        <v>-1459</v>
      </c>
      <c r="Q112" s="117"/>
      <c r="R112" s="117"/>
      <c r="S112" s="38">
        <f t="shared" si="68"/>
        <v>-1459</v>
      </c>
      <c r="T112" s="106"/>
      <c r="U112" s="116"/>
      <c r="V112" s="20">
        <f t="shared" si="69"/>
        <v>-1459</v>
      </c>
      <c r="W112" s="143"/>
      <c r="X112" s="4"/>
      <c r="Y112" s="4"/>
      <c r="Z112" s="4"/>
    </row>
    <row r="113" spans="1:23" ht="15.75" customHeight="1">
      <c r="A113" s="114"/>
      <c r="B113" s="122"/>
      <c r="C113" s="123"/>
      <c r="D113" s="26">
        <f t="shared" si="63"/>
        <v>-1459</v>
      </c>
      <c r="E113" s="117"/>
      <c r="F113" s="117"/>
      <c r="G113" s="19">
        <f t="shared" si="64"/>
        <v>-1459</v>
      </c>
      <c r="H113" s="106"/>
      <c r="I113" s="107"/>
      <c r="J113" s="26">
        <f t="shared" si="65"/>
        <v>-1459</v>
      </c>
      <c r="K113" s="117"/>
      <c r="L113" s="117"/>
      <c r="M113" s="38">
        <f t="shared" si="66"/>
        <v>-1459</v>
      </c>
      <c r="N113" s="122"/>
      <c r="O113" s="123"/>
      <c r="P113" s="26">
        <f t="shared" si="67"/>
        <v>-1459</v>
      </c>
      <c r="Q113" s="117"/>
      <c r="R113" s="117"/>
      <c r="S113" s="38">
        <f t="shared" si="68"/>
        <v>-1459</v>
      </c>
      <c r="T113" s="122"/>
      <c r="U113" s="124"/>
      <c r="V113" s="20">
        <f t="shared" si="69"/>
        <v>-1459</v>
      </c>
      <c r="W113" s="143"/>
    </row>
    <row r="114" spans="1:23" ht="15.75" customHeight="1">
      <c r="A114" s="114"/>
      <c r="B114" s="122"/>
      <c r="C114" s="123"/>
      <c r="D114" s="39">
        <f t="shared" si="63"/>
        <v>-1459</v>
      </c>
      <c r="E114" s="128"/>
      <c r="F114" s="128"/>
      <c r="G114" s="29">
        <f t="shared" si="64"/>
        <v>-1459</v>
      </c>
      <c r="H114" s="124"/>
      <c r="I114" s="123"/>
      <c r="J114" s="39">
        <f t="shared" si="65"/>
        <v>-1459</v>
      </c>
      <c r="K114" s="128"/>
      <c r="L114" s="128"/>
      <c r="M114" s="40">
        <f t="shared" si="66"/>
        <v>-1459</v>
      </c>
      <c r="N114" s="122"/>
      <c r="O114" s="123"/>
      <c r="P114" s="39">
        <f t="shared" si="67"/>
        <v>-1459</v>
      </c>
      <c r="Q114" s="128"/>
      <c r="R114" s="128"/>
      <c r="S114" s="40">
        <f t="shared" si="68"/>
        <v>-1459</v>
      </c>
      <c r="T114" s="122"/>
      <c r="U114" s="123"/>
      <c r="V114" s="49">
        <f t="shared" si="69"/>
        <v>-1459</v>
      </c>
      <c r="W114" s="143"/>
    </row>
    <row r="115" spans="1:23" ht="15.75" customHeight="1">
      <c r="A115" s="87"/>
      <c r="B115" s="77">
        <f ca="1">IFERROR(__xludf.DUMMYFUNCTION("DATE(VALUE(LEFT($B$2,4)),VALUE(MID($B$2,6,2)),VALUE(RIGHT($B$2,2)))
+ (VALUE(REGEXEXTRACT(INDIRECT(""A""&amp;ROW()+1),""\d+""))-1)*7
+ INT((COLUMN()-COLUMN($B115))/3)
"),47552)</f>
        <v>47552</v>
      </c>
      <c r="C115" s="81"/>
      <c r="D115" s="82"/>
      <c r="E115" s="77">
        <f ca="1">IFERROR(__xludf.DUMMYFUNCTION("DATE(VALUE(LEFT($B$2,4)),VALUE(MID($B$2,6,2)),VALUE(RIGHT($B$2,2)))
+ (VALUE(REGEXEXTRACT(INDIRECT(""A""&amp;ROW()+1),""\d+""))-1)*7
+ INT((COLUMN()-COLUMN($B115))/3)
"),47553)</f>
        <v>47553</v>
      </c>
      <c r="F115" s="81"/>
      <c r="G115" s="82"/>
      <c r="H115" s="77">
        <f ca="1">IFERROR(__xludf.DUMMYFUNCTION("DATE(VALUE(LEFT($B$2,4)),VALUE(MID($B$2,6,2)),VALUE(RIGHT($B$2,2)))
+ (VALUE(REGEXEXTRACT(INDIRECT(""A""&amp;ROW()+1),""\d+""))-1)*7
+ INT((COLUMN()-COLUMN($B115))/3)
"),47554)</f>
        <v>47554</v>
      </c>
      <c r="I115" s="81"/>
      <c r="J115" s="82"/>
      <c r="K115" s="77">
        <f ca="1">IFERROR(__xludf.DUMMYFUNCTION("DATE(VALUE(LEFT($B$2,4)),VALUE(MID($B$2,6,2)),VALUE(RIGHT($B$2,2)))
+ (VALUE(REGEXEXTRACT(INDIRECT(""A""&amp;ROW()+1),""\d+""))-1)*7
+ INT((COLUMN()-COLUMN($B115))/3)
"),47555)</f>
        <v>47555</v>
      </c>
      <c r="L115" s="81"/>
      <c r="M115" s="82"/>
      <c r="N115" s="77">
        <f ca="1">IFERROR(__xludf.DUMMYFUNCTION("DATE(VALUE(LEFT($B$2,4)),VALUE(MID($B$2,6,2)),VALUE(RIGHT($B$2,2)))
+ (VALUE(REGEXEXTRACT(INDIRECT(""A""&amp;ROW()+1),""\d+""))-1)*7
+ INT((COLUMN()-COLUMN($B115))/3)
"),47556)</f>
        <v>47556</v>
      </c>
      <c r="O115" s="81"/>
      <c r="P115" s="82"/>
      <c r="Q115" s="77">
        <f ca="1">IFERROR(__xludf.DUMMYFUNCTION("DATE(VALUE(LEFT($B$2,4)),VALUE(MID($B$2,6,2)),VALUE(RIGHT($B$2,2)))
+ (VALUE(REGEXEXTRACT(INDIRECT(""A""&amp;ROW()+1),""\d+""))-1)*7
+ INT((COLUMN()-COLUMN($B115))/3)
"),47557)</f>
        <v>47557</v>
      </c>
      <c r="R115" s="81"/>
      <c r="S115" s="82"/>
      <c r="T115" s="77">
        <f ca="1">IFERROR(__xludf.DUMMYFUNCTION("DATE(VALUE(LEFT($B$2,4)),VALUE(MID($B$2,6,2)),VALUE(RIGHT($B$2,2)))
+ (VALUE(REGEXEXTRACT(INDIRECT(""A""&amp;ROW()+1),""\d+""))-1)*7
+ INT((COLUMN()-COLUMN($B115))/3)
"),47558)</f>
        <v>47558</v>
      </c>
      <c r="U115" s="81"/>
      <c r="V115" s="82"/>
      <c r="W115" s="52" t="s">
        <v>20</v>
      </c>
    </row>
    <row r="116" spans="1:23" ht="15.75" customHeight="1">
      <c r="A116" s="47" t="s">
        <v>146</v>
      </c>
      <c r="B116" s="109"/>
      <c r="C116" s="109"/>
      <c r="D116" s="42">
        <f>V114+C116</f>
        <v>-1459</v>
      </c>
      <c r="E116" s="112"/>
      <c r="F116" s="111"/>
      <c r="G116" s="36">
        <f>D126+F116</f>
        <v>-1459</v>
      </c>
      <c r="H116" s="132"/>
      <c r="I116" s="109"/>
      <c r="J116" s="42">
        <f>G126+I116</f>
        <v>-1459</v>
      </c>
      <c r="K116" s="112"/>
      <c r="L116" s="111"/>
      <c r="M116" s="18">
        <f>J126+L116</f>
        <v>-1459</v>
      </c>
      <c r="N116" s="113"/>
      <c r="O116" s="109"/>
      <c r="P116" s="35">
        <f>M126+O116</f>
        <v>-1459</v>
      </c>
      <c r="Q116" s="112"/>
      <c r="R116" s="111"/>
      <c r="S116" s="18">
        <f>P126+R116</f>
        <v>-1459</v>
      </c>
      <c r="T116" s="113"/>
      <c r="U116" s="109"/>
      <c r="V116" s="50">
        <f>S126+U116</f>
        <v>-1459</v>
      </c>
      <c r="W116" s="172"/>
    </row>
    <row r="117" spans="1:23" ht="15.75" customHeight="1">
      <c r="A117" s="114"/>
      <c r="B117" s="117"/>
      <c r="C117" s="117"/>
      <c r="D117" s="19">
        <f t="shared" ref="D117:D126" si="70">D116+C117</f>
        <v>-1459</v>
      </c>
      <c r="E117" s="106"/>
      <c r="F117" s="107"/>
      <c r="G117" s="26">
        <f t="shared" ref="G117:G126" si="71">G116+F117</f>
        <v>-1459</v>
      </c>
      <c r="H117" s="133"/>
      <c r="I117" s="117"/>
      <c r="J117" s="19">
        <f t="shared" ref="J117:J126" si="72">J116+I117</f>
        <v>-1459</v>
      </c>
      <c r="K117" s="106"/>
      <c r="L117" s="107"/>
      <c r="M117" s="26">
        <f t="shared" ref="M117:M126" si="73">M116+L117</f>
        <v>-1459</v>
      </c>
      <c r="N117" s="118"/>
      <c r="O117" s="117"/>
      <c r="P117" s="38">
        <f t="shared" ref="P117:P126" si="74">P116+O117</f>
        <v>-1459</v>
      </c>
      <c r="Q117" s="106"/>
      <c r="R117" s="107"/>
      <c r="S117" s="26">
        <f t="shared" ref="S117:S126" si="75">S116+R117</f>
        <v>-1459</v>
      </c>
      <c r="T117" s="136"/>
      <c r="U117" s="136"/>
      <c r="V117" s="45">
        <f t="shared" ref="V117:V126" si="76">V116+U117</f>
        <v>-1459</v>
      </c>
      <c r="W117" s="143"/>
    </row>
    <row r="118" spans="1:23" ht="15.75" customHeight="1">
      <c r="A118" s="114"/>
      <c r="B118" s="117"/>
      <c r="C118" s="117"/>
      <c r="D118" s="19">
        <f t="shared" si="70"/>
        <v>-1459</v>
      </c>
      <c r="E118" s="106"/>
      <c r="F118" s="107"/>
      <c r="G118" s="26">
        <f t="shared" si="71"/>
        <v>-1459</v>
      </c>
      <c r="H118" s="133"/>
      <c r="I118" s="117"/>
      <c r="J118" s="19">
        <f t="shared" si="72"/>
        <v>-1459</v>
      </c>
      <c r="K118" s="106"/>
      <c r="L118" s="107"/>
      <c r="M118" s="26">
        <f t="shared" si="73"/>
        <v>-1459</v>
      </c>
      <c r="N118" s="117"/>
      <c r="O118" s="117"/>
      <c r="P118" s="38">
        <f t="shared" si="74"/>
        <v>-1459</v>
      </c>
      <c r="Q118" s="106"/>
      <c r="R118" s="107"/>
      <c r="S118" s="26">
        <f t="shared" si="75"/>
        <v>-1459</v>
      </c>
      <c r="T118" s="136"/>
      <c r="U118" s="136"/>
      <c r="V118" s="45">
        <f t="shared" si="76"/>
        <v>-1459</v>
      </c>
      <c r="W118" s="143"/>
    </row>
    <row r="119" spans="1:23" ht="15.75" customHeight="1">
      <c r="A119" s="114"/>
      <c r="B119" s="117"/>
      <c r="C119" s="117"/>
      <c r="D119" s="19">
        <f t="shared" si="70"/>
        <v>-1459</v>
      </c>
      <c r="E119" s="106"/>
      <c r="F119" s="107"/>
      <c r="G119" s="26">
        <f t="shared" si="71"/>
        <v>-1459</v>
      </c>
      <c r="H119" s="133"/>
      <c r="I119" s="117"/>
      <c r="J119" s="19">
        <f t="shared" si="72"/>
        <v>-1459</v>
      </c>
      <c r="K119" s="106"/>
      <c r="L119" s="107"/>
      <c r="M119" s="26">
        <f t="shared" si="73"/>
        <v>-1459</v>
      </c>
      <c r="N119" s="117"/>
      <c r="O119" s="117"/>
      <c r="P119" s="38">
        <f t="shared" si="74"/>
        <v>-1459</v>
      </c>
      <c r="Q119" s="106"/>
      <c r="R119" s="107"/>
      <c r="S119" s="26">
        <f t="shared" si="75"/>
        <v>-1459</v>
      </c>
      <c r="T119" s="117"/>
      <c r="U119" s="117"/>
      <c r="V119" s="45">
        <f t="shared" si="76"/>
        <v>-1459</v>
      </c>
      <c r="W119" s="143"/>
    </row>
    <row r="120" spans="1:23" ht="15.75" customHeight="1">
      <c r="A120" s="114"/>
      <c r="B120" s="117"/>
      <c r="C120" s="117"/>
      <c r="D120" s="19">
        <f t="shared" si="70"/>
        <v>-1459</v>
      </c>
      <c r="E120" s="106"/>
      <c r="F120" s="107"/>
      <c r="G120" s="26">
        <f t="shared" si="71"/>
        <v>-1459</v>
      </c>
      <c r="H120" s="133"/>
      <c r="I120" s="117"/>
      <c r="J120" s="19">
        <f t="shared" si="72"/>
        <v>-1459</v>
      </c>
      <c r="K120" s="106"/>
      <c r="L120" s="107"/>
      <c r="M120" s="26">
        <f t="shared" si="73"/>
        <v>-1459</v>
      </c>
      <c r="N120" s="117"/>
      <c r="O120" s="117"/>
      <c r="P120" s="38">
        <f t="shared" si="74"/>
        <v>-1459</v>
      </c>
      <c r="Q120" s="106"/>
      <c r="R120" s="107"/>
      <c r="S120" s="26">
        <f t="shared" si="75"/>
        <v>-1459</v>
      </c>
      <c r="T120" s="117"/>
      <c r="U120" s="117"/>
      <c r="V120" s="45">
        <f t="shared" si="76"/>
        <v>-1459</v>
      </c>
      <c r="W120" s="143"/>
    </row>
    <row r="121" spans="1:23" ht="15.75" customHeight="1">
      <c r="A121" s="114"/>
      <c r="B121" s="118"/>
      <c r="C121" s="117"/>
      <c r="D121" s="19">
        <f t="shared" si="70"/>
        <v>-1459</v>
      </c>
      <c r="E121" s="106"/>
      <c r="F121" s="107"/>
      <c r="G121" s="26">
        <f t="shared" si="71"/>
        <v>-1459</v>
      </c>
      <c r="H121" s="133"/>
      <c r="I121" s="117"/>
      <c r="J121" s="19">
        <f t="shared" si="72"/>
        <v>-1459</v>
      </c>
      <c r="K121" s="106"/>
      <c r="L121" s="107"/>
      <c r="M121" s="26">
        <f t="shared" si="73"/>
        <v>-1459</v>
      </c>
      <c r="N121" s="117"/>
      <c r="O121" s="117"/>
      <c r="P121" s="38">
        <f t="shared" si="74"/>
        <v>-1459</v>
      </c>
      <c r="Q121" s="106"/>
      <c r="R121" s="107"/>
      <c r="S121" s="26">
        <f t="shared" si="75"/>
        <v>-1459</v>
      </c>
      <c r="T121" s="117"/>
      <c r="U121" s="117"/>
      <c r="V121" s="45">
        <f t="shared" si="76"/>
        <v>-1459</v>
      </c>
      <c r="W121" s="143"/>
    </row>
    <row r="122" spans="1:23" ht="15.75" customHeight="1">
      <c r="A122" s="114"/>
      <c r="B122" s="117"/>
      <c r="C122" s="117"/>
      <c r="D122" s="19">
        <f t="shared" si="70"/>
        <v>-1459</v>
      </c>
      <c r="E122" s="106"/>
      <c r="F122" s="107"/>
      <c r="G122" s="26">
        <f t="shared" si="71"/>
        <v>-1459</v>
      </c>
      <c r="H122" s="133"/>
      <c r="I122" s="117"/>
      <c r="J122" s="19">
        <f t="shared" si="72"/>
        <v>-1459</v>
      </c>
      <c r="K122" s="106"/>
      <c r="L122" s="107"/>
      <c r="M122" s="26">
        <f t="shared" si="73"/>
        <v>-1459</v>
      </c>
      <c r="N122" s="117"/>
      <c r="O122" s="117"/>
      <c r="P122" s="38">
        <f t="shared" si="74"/>
        <v>-1459</v>
      </c>
      <c r="Q122" s="106"/>
      <c r="R122" s="107"/>
      <c r="S122" s="26">
        <f t="shared" si="75"/>
        <v>-1459</v>
      </c>
      <c r="T122" s="117"/>
      <c r="U122" s="117"/>
      <c r="V122" s="45">
        <f t="shared" si="76"/>
        <v>-1459</v>
      </c>
      <c r="W122" s="143"/>
    </row>
    <row r="123" spans="1:23" ht="15.75" customHeight="1">
      <c r="A123" s="114"/>
      <c r="B123" s="117"/>
      <c r="C123" s="117"/>
      <c r="D123" s="19">
        <f t="shared" si="70"/>
        <v>-1459</v>
      </c>
      <c r="E123" s="106"/>
      <c r="F123" s="107"/>
      <c r="G123" s="26">
        <f t="shared" si="71"/>
        <v>-1459</v>
      </c>
      <c r="H123" s="133"/>
      <c r="I123" s="117"/>
      <c r="J123" s="19">
        <f t="shared" si="72"/>
        <v>-1459</v>
      </c>
      <c r="K123" s="106"/>
      <c r="L123" s="107"/>
      <c r="M123" s="26">
        <f t="shared" si="73"/>
        <v>-1459</v>
      </c>
      <c r="N123" s="117"/>
      <c r="O123" s="117"/>
      <c r="P123" s="38">
        <f t="shared" si="74"/>
        <v>-1459</v>
      </c>
      <c r="Q123" s="106"/>
      <c r="R123" s="107"/>
      <c r="S123" s="26">
        <f t="shared" si="75"/>
        <v>-1459</v>
      </c>
      <c r="T123" s="117"/>
      <c r="U123" s="117"/>
      <c r="V123" s="45">
        <f t="shared" si="76"/>
        <v>-1459</v>
      </c>
      <c r="W123" s="143"/>
    </row>
    <row r="124" spans="1:23" ht="15.75" customHeight="1">
      <c r="A124" s="114"/>
      <c r="B124" s="117"/>
      <c r="C124" s="117"/>
      <c r="D124" s="19">
        <f t="shared" si="70"/>
        <v>-1459</v>
      </c>
      <c r="E124" s="106"/>
      <c r="F124" s="107"/>
      <c r="G124" s="26">
        <f t="shared" si="71"/>
        <v>-1459</v>
      </c>
      <c r="H124" s="133"/>
      <c r="I124" s="117"/>
      <c r="J124" s="19">
        <f t="shared" si="72"/>
        <v>-1459</v>
      </c>
      <c r="K124" s="106"/>
      <c r="L124" s="107"/>
      <c r="M124" s="26">
        <f t="shared" si="73"/>
        <v>-1459</v>
      </c>
      <c r="N124" s="117"/>
      <c r="O124" s="117"/>
      <c r="P124" s="38">
        <f t="shared" si="74"/>
        <v>-1459</v>
      </c>
      <c r="Q124" s="106"/>
      <c r="R124" s="107"/>
      <c r="S124" s="26">
        <f t="shared" si="75"/>
        <v>-1459</v>
      </c>
      <c r="T124" s="136"/>
      <c r="U124" s="136"/>
      <c r="V124" s="45">
        <f t="shared" si="76"/>
        <v>-1459</v>
      </c>
      <c r="W124" s="143"/>
    </row>
    <row r="125" spans="1:23" ht="15.75" customHeight="1">
      <c r="A125" s="114"/>
      <c r="B125" s="117"/>
      <c r="C125" s="117"/>
      <c r="D125" s="19">
        <f t="shared" si="70"/>
        <v>-1459</v>
      </c>
      <c r="E125" s="122"/>
      <c r="F125" s="123"/>
      <c r="G125" s="26">
        <f t="shared" si="71"/>
        <v>-1459</v>
      </c>
      <c r="H125" s="133"/>
      <c r="I125" s="117"/>
      <c r="J125" s="19">
        <f t="shared" si="72"/>
        <v>-1459</v>
      </c>
      <c r="K125" s="122"/>
      <c r="L125" s="123"/>
      <c r="M125" s="26">
        <f t="shared" si="73"/>
        <v>-1459</v>
      </c>
      <c r="N125" s="117"/>
      <c r="O125" s="117"/>
      <c r="P125" s="38">
        <f t="shared" si="74"/>
        <v>-1459</v>
      </c>
      <c r="Q125" s="122"/>
      <c r="R125" s="123"/>
      <c r="S125" s="26">
        <f t="shared" si="75"/>
        <v>-1459</v>
      </c>
      <c r="T125" s="136"/>
      <c r="U125" s="136"/>
      <c r="V125" s="45">
        <f t="shared" si="76"/>
        <v>-1459</v>
      </c>
      <c r="W125" s="143"/>
    </row>
    <row r="126" spans="1:23" ht="15.75" customHeight="1">
      <c r="A126" s="114"/>
      <c r="B126" s="128"/>
      <c r="C126" s="128"/>
      <c r="D126" s="29">
        <f t="shared" si="70"/>
        <v>-1459</v>
      </c>
      <c r="E126" s="122"/>
      <c r="F126" s="123"/>
      <c r="G126" s="39">
        <f t="shared" si="71"/>
        <v>-1459</v>
      </c>
      <c r="H126" s="140"/>
      <c r="I126" s="128"/>
      <c r="J126" s="29">
        <f t="shared" si="72"/>
        <v>-1459</v>
      </c>
      <c r="K126" s="122"/>
      <c r="L126" s="123"/>
      <c r="M126" s="39">
        <f t="shared" si="73"/>
        <v>-1459</v>
      </c>
      <c r="N126" s="128"/>
      <c r="O126" s="128"/>
      <c r="P126" s="40">
        <f t="shared" si="74"/>
        <v>-1459</v>
      </c>
      <c r="Q126" s="122"/>
      <c r="R126" s="123"/>
      <c r="S126" s="39">
        <f t="shared" si="75"/>
        <v>-1459</v>
      </c>
      <c r="T126" s="141"/>
      <c r="U126" s="141"/>
      <c r="V126" s="46">
        <f t="shared" si="76"/>
        <v>-1459</v>
      </c>
      <c r="W126" s="143"/>
    </row>
    <row r="127" spans="1:23" ht="15.75" customHeight="1">
      <c r="A127" s="87"/>
      <c r="B127" s="77">
        <f ca="1">IFERROR(__xludf.DUMMYFUNCTION("DATE(VALUE(LEFT($B$2,4)),VALUE(MID($B$2,6,2)),VALUE(RIGHT($B$2,2)))
+ (VALUE(REGEXEXTRACT(INDIRECT(""A""&amp;ROW()+1),""\d+""))-1)*7
+ INT((COLUMN()-COLUMN($B127))/3)
"),47559)</f>
        <v>47559</v>
      </c>
      <c r="C127" s="81"/>
      <c r="D127" s="82"/>
      <c r="E127" s="77">
        <f ca="1">IFERROR(__xludf.DUMMYFUNCTION("DATE(VALUE(LEFT($B$2,4)),VALUE(MID($B$2,6,2)),VALUE(RIGHT($B$2,2)))
+ (VALUE(REGEXEXTRACT(INDIRECT(""A""&amp;ROW()+1),""\d+""))-1)*7
+ INT((COLUMN()-COLUMN($B127))/3)
"),47560)</f>
        <v>47560</v>
      </c>
      <c r="F127" s="81"/>
      <c r="G127" s="82"/>
      <c r="H127" s="77">
        <f ca="1">IFERROR(__xludf.DUMMYFUNCTION("DATE(VALUE(LEFT($B$2,4)),VALUE(MID($B$2,6,2)),VALUE(RIGHT($B$2,2)))
+ (VALUE(REGEXEXTRACT(INDIRECT(""A""&amp;ROW()+1),""\d+""))-1)*7
+ INT((COLUMN()-COLUMN($B127))/3)
"),47561)</f>
        <v>47561</v>
      </c>
      <c r="I127" s="81"/>
      <c r="J127" s="82"/>
      <c r="K127" s="77">
        <f ca="1">IFERROR(__xludf.DUMMYFUNCTION("DATE(VALUE(LEFT($B$2,4)),VALUE(MID($B$2,6,2)),VALUE(RIGHT($B$2,2)))
+ (VALUE(REGEXEXTRACT(INDIRECT(""A""&amp;ROW()+1),""\d+""))-1)*7
+ INT((COLUMN()-COLUMN($B127))/3)
"),47562)</f>
        <v>47562</v>
      </c>
      <c r="L127" s="81"/>
      <c r="M127" s="82"/>
      <c r="N127" s="77">
        <f ca="1">IFERROR(__xludf.DUMMYFUNCTION("DATE(VALUE(LEFT($B$2,4)),VALUE(MID($B$2,6,2)),VALUE(RIGHT($B$2,2)))
+ (VALUE(REGEXEXTRACT(INDIRECT(""A""&amp;ROW()+1),""\d+""))-1)*7
+ INT((COLUMN()-COLUMN($B127))/3)
"),47563)</f>
        <v>47563</v>
      </c>
      <c r="O127" s="81"/>
      <c r="P127" s="82"/>
      <c r="Q127" s="77">
        <f ca="1">IFERROR(__xludf.DUMMYFUNCTION("DATE(VALUE(LEFT($B$2,4)),VALUE(MID($B$2,6,2)),VALUE(RIGHT($B$2,2)))
+ (VALUE(REGEXEXTRACT(INDIRECT(""A""&amp;ROW()+1),""\d+""))-1)*7
+ INT((COLUMN()-COLUMN($B127))/3)
"),47564)</f>
        <v>47564</v>
      </c>
      <c r="R127" s="81"/>
      <c r="S127" s="82"/>
      <c r="T127" s="77">
        <f ca="1">IFERROR(__xludf.DUMMYFUNCTION("DATE(VALUE(LEFT($B$2,4)),VALUE(MID($B$2,6,2)),VALUE(RIGHT($B$2,2)))
+ (VALUE(REGEXEXTRACT(INDIRECT(""A""&amp;ROW()+1),""\d+""))-1)*7
+ INT((COLUMN()-COLUMN($B127))/3)
"),47565)</f>
        <v>47565</v>
      </c>
      <c r="U127" s="81"/>
      <c r="V127" s="82"/>
      <c r="W127" s="143"/>
    </row>
    <row r="128" spans="1:23" ht="15.75" customHeight="1">
      <c r="A128" s="51" t="s">
        <v>147</v>
      </c>
      <c r="B128" s="112"/>
      <c r="C128" s="111"/>
      <c r="D128" s="17">
        <f>V126+C128</f>
        <v>-1459</v>
      </c>
      <c r="E128" s="109"/>
      <c r="F128" s="109"/>
      <c r="G128" s="54">
        <f>D138+F128</f>
        <v>-1459</v>
      </c>
      <c r="H128" s="110"/>
      <c r="I128" s="111"/>
      <c r="J128" s="17">
        <f>G138+I128</f>
        <v>-1459</v>
      </c>
      <c r="K128" s="109"/>
      <c r="L128" s="109"/>
      <c r="M128" s="35">
        <f>J138+L128</f>
        <v>-1459</v>
      </c>
      <c r="N128" s="112"/>
      <c r="O128" s="111"/>
      <c r="P128" s="17">
        <f>M138+O128</f>
        <v>-1459</v>
      </c>
      <c r="Q128" s="109"/>
      <c r="R128" s="109"/>
      <c r="S128" s="35">
        <f>P138+R128</f>
        <v>-1459</v>
      </c>
      <c r="T128" s="112"/>
      <c r="U128" s="111"/>
      <c r="V128" s="48">
        <f>S138+U128</f>
        <v>-1459</v>
      </c>
      <c r="W128" s="143"/>
    </row>
    <row r="129" spans="1:23" ht="15.75" customHeight="1">
      <c r="A129" s="114"/>
      <c r="B129" s="106"/>
      <c r="C129" s="107"/>
      <c r="D129" s="26">
        <f t="shared" ref="D129:D138" si="77">D128+C129</f>
        <v>-1459</v>
      </c>
      <c r="E129" s="117"/>
      <c r="F129" s="117"/>
      <c r="G129" s="19">
        <f t="shared" ref="G129:G138" si="78">G128+F129</f>
        <v>-1459</v>
      </c>
      <c r="H129" s="106"/>
      <c r="I129" s="107"/>
      <c r="J129" s="26">
        <f t="shared" ref="J129:J138" si="79">J128+I129</f>
        <v>-1459</v>
      </c>
      <c r="K129" s="117"/>
      <c r="L129" s="117"/>
      <c r="M129" s="38">
        <f t="shared" ref="M129:M138" si="80">M128+L129</f>
        <v>-1459</v>
      </c>
      <c r="N129" s="106"/>
      <c r="O129" s="107"/>
      <c r="P129" s="26">
        <f t="shared" ref="P129:P138" si="81">P128+O129</f>
        <v>-1459</v>
      </c>
      <c r="Q129" s="117"/>
      <c r="R129" s="117"/>
      <c r="S129" s="38">
        <f t="shared" ref="S129:S138" si="82">S128+R129</f>
        <v>-1459</v>
      </c>
      <c r="T129" s="106"/>
      <c r="U129" s="107"/>
      <c r="V129" s="20">
        <f t="shared" ref="V129:V138" si="83">V128+U129</f>
        <v>-1459</v>
      </c>
      <c r="W129" s="143"/>
    </row>
    <row r="130" spans="1:23" ht="15.75" customHeight="1">
      <c r="A130" s="114"/>
      <c r="B130" s="106"/>
      <c r="C130" s="107"/>
      <c r="D130" s="26">
        <f t="shared" si="77"/>
        <v>-1459</v>
      </c>
      <c r="E130" s="117"/>
      <c r="F130" s="117"/>
      <c r="G130" s="19">
        <f t="shared" si="78"/>
        <v>-1459</v>
      </c>
      <c r="H130" s="106"/>
      <c r="I130" s="107"/>
      <c r="J130" s="26">
        <f t="shared" si="79"/>
        <v>-1459</v>
      </c>
      <c r="K130" s="117"/>
      <c r="L130" s="117"/>
      <c r="M130" s="38">
        <f t="shared" si="80"/>
        <v>-1459</v>
      </c>
      <c r="N130" s="106"/>
      <c r="O130" s="107"/>
      <c r="P130" s="26">
        <f t="shared" si="81"/>
        <v>-1459</v>
      </c>
      <c r="Q130" s="117"/>
      <c r="R130" s="117"/>
      <c r="S130" s="38">
        <f t="shared" si="82"/>
        <v>-1459</v>
      </c>
      <c r="T130" s="106"/>
      <c r="U130" s="116"/>
      <c r="V130" s="20">
        <f t="shared" si="83"/>
        <v>-1459</v>
      </c>
      <c r="W130" s="143"/>
    </row>
    <row r="131" spans="1:23" ht="15.75" customHeight="1">
      <c r="A131" s="114"/>
      <c r="B131" s="106"/>
      <c r="C131" s="107"/>
      <c r="D131" s="26">
        <f t="shared" si="77"/>
        <v>-1459</v>
      </c>
      <c r="E131" s="117"/>
      <c r="F131" s="117"/>
      <c r="G131" s="19">
        <f t="shared" si="78"/>
        <v>-1459</v>
      </c>
      <c r="H131" s="106"/>
      <c r="I131" s="107"/>
      <c r="J131" s="26">
        <f t="shared" si="79"/>
        <v>-1459</v>
      </c>
      <c r="K131" s="117"/>
      <c r="L131" s="117"/>
      <c r="M131" s="38">
        <f t="shared" si="80"/>
        <v>-1459</v>
      </c>
      <c r="N131" s="106"/>
      <c r="O131" s="107"/>
      <c r="P131" s="26">
        <f t="shared" si="81"/>
        <v>-1459</v>
      </c>
      <c r="Q131" s="117"/>
      <c r="R131" s="117"/>
      <c r="S131" s="38">
        <f t="shared" si="82"/>
        <v>-1459</v>
      </c>
      <c r="T131" s="106"/>
      <c r="U131" s="116"/>
      <c r="V131" s="20">
        <f t="shared" si="83"/>
        <v>-1459</v>
      </c>
      <c r="W131" s="143"/>
    </row>
    <row r="132" spans="1:23" ht="15.75" customHeight="1">
      <c r="A132" s="114"/>
      <c r="B132" s="106"/>
      <c r="C132" s="107"/>
      <c r="D132" s="26">
        <f t="shared" si="77"/>
        <v>-1459</v>
      </c>
      <c r="E132" s="117"/>
      <c r="F132" s="117"/>
      <c r="G132" s="19">
        <f t="shared" si="78"/>
        <v>-1459</v>
      </c>
      <c r="H132" s="106"/>
      <c r="I132" s="107"/>
      <c r="J132" s="26">
        <f t="shared" si="79"/>
        <v>-1459</v>
      </c>
      <c r="K132" s="117"/>
      <c r="L132" s="117"/>
      <c r="M132" s="38">
        <f t="shared" si="80"/>
        <v>-1459</v>
      </c>
      <c r="N132" s="106"/>
      <c r="O132" s="107"/>
      <c r="P132" s="26">
        <f t="shared" si="81"/>
        <v>-1459</v>
      </c>
      <c r="Q132" s="117"/>
      <c r="R132" s="117"/>
      <c r="S132" s="38">
        <f t="shared" si="82"/>
        <v>-1459</v>
      </c>
      <c r="T132" s="106"/>
      <c r="U132" s="116"/>
      <c r="V132" s="20">
        <f t="shared" si="83"/>
        <v>-1459</v>
      </c>
      <c r="W132" s="143"/>
    </row>
    <row r="133" spans="1:23" ht="15.75" customHeight="1">
      <c r="A133" s="114"/>
      <c r="B133" s="106"/>
      <c r="C133" s="107"/>
      <c r="D133" s="26">
        <f t="shared" si="77"/>
        <v>-1459</v>
      </c>
      <c r="E133" s="117"/>
      <c r="F133" s="117"/>
      <c r="G133" s="19">
        <f t="shared" si="78"/>
        <v>-1459</v>
      </c>
      <c r="H133" s="106"/>
      <c r="I133" s="107"/>
      <c r="J133" s="26">
        <f t="shared" si="79"/>
        <v>-1459</v>
      </c>
      <c r="K133" s="117"/>
      <c r="L133" s="117"/>
      <c r="M133" s="38">
        <f t="shared" si="80"/>
        <v>-1459</v>
      </c>
      <c r="N133" s="106"/>
      <c r="O133" s="107"/>
      <c r="P133" s="26">
        <f t="shared" si="81"/>
        <v>-1459</v>
      </c>
      <c r="Q133" s="117"/>
      <c r="R133" s="117"/>
      <c r="S133" s="38">
        <f t="shared" si="82"/>
        <v>-1459</v>
      </c>
      <c r="T133" s="106"/>
      <c r="U133" s="116"/>
      <c r="V133" s="20">
        <f t="shared" si="83"/>
        <v>-1459</v>
      </c>
      <c r="W133" s="143"/>
    </row>
    <row r="134" spans="1:23" ht="15.75" customHeight="1">
      <c r="A134" s="114"/>
      <c r="B134" s="106"/>
      <c r="C134" s="107"/>
      <c r="D134" s="26">
        <f t="shared" si="77"/>
        <v>-1459</v>
      </c>
      <c r="E134" s="117"/>
      <c r="F134" s="117"/>
      <c r="G134" s="19">
        <f t="shared" si="78"/>
        <v>-1459</v>
      </c>
      <c r="H134" s="106"/>
      <c r="I134" s="107"/>
      <c r="J134" s="26">
        <f t="shared" si="79"/>
        <v>-1459</v>
      </c>
      <c r="K134" s="117"/>
      <c r="L134" s="117"/>
      <c r="M134" s="38">
        <f t="shared" si="80"/>
        <v>-1459</v>
      </c>
      <c r="N134" s="106"/>
      <c r="O134" s="107"/>
      <c r="P134" s="26">
        <f t="shared" si="81"/>
        <v>-1459</v>
      </c>
      <c r="Q134" s="117"/>
      <c r="R134" s="117"/>
      <c r="S134" s="38">
        <f t="shared" si="82"/>
        <v>-1459</v>
      </c>
      <c r="T134" s="106"/>
      <c r="U134" s="116"/>
      <c r="V134" s="20">
        <f t="shared" si="83"/>
        <v>-1459</v>
      </c>
      <c r="W134" s="143"/>
    </row>
    <row r="135" spans="1:23" ht="15.75" customHeight="1">
      <c r="A135" s="114"/>
      <c r="B135" s="106"/>
      <c r="C135" s="107"/>
      <c r="D135" s="26">
        <f t="shared" si="77"/>
        <v>-1459</v>
      </c>
      <c r="E135" s="117"/>
      <c r="F135" s="117"/>
      <c r="G135" s="19">
        <f t="shared" si="78"/>
        <v>-1459</v>
      </c>
      <c r="H135" s="106"/>
      <c r="I135" s="107"/>
      <c r="J135" s="26">
        <f t="shared" si="79"/>
        <v>-1459</v>
      </c>
      <c r="K135" s="117"/>
      <c r="L135" s="117"/>
      <c r="M135" s="38">
        <f t="shared" si="80"/>
        <v>-1459</v>
      </c>
      <c r="N135" s="106"/>
      <c r="O135" s="107"/>
      <c r="P135" s="26">
        <f t="shared" si="81"/>
        <v>-1459</v>
      </c>
      <c r="Q135" s="117"/>
      <c r="R135" s="117"/>
      <c r="S135" s="38">
        <f t="shared" si="82"/>
        <v>-1459</v>
      </c>
      <c r="T135" s="106"/>
      <c r="U135" s="116"/>
      <c r="V135" s="20">
        <f t="shared" si="83"/>
        <v>-1459</v>
      </c>
      <c r="W135" s="143"/>
    </row>
    <row r="136" spans="1:23" ht="15.75" customHeight="1">
      <c r="A136" s="114"/>
      <c r="B136" s="122"/>
      <c r="C136" s="123"/>
      <c r="D136" s="26">
        <f t="shared" si="77"/>
        <v>-1459</v>
      </c>
      <c r="E136" s="117"/>
      <c r="F136" s="117"/>
      <c r="G136" s="19">
        <f t="shared" si="78"/>
        <v>-1459</v>
      </c>
      <c r="H136" s="122"/>
      <c r="I136" s="123"/>
      <c r="J136" s="26">
        <f t="shared" si="79"/>
        <v>-1459</v>
      </c>
      <c r="K136" s="117"/>
      <c r="L136" s="117"/>
      <c r="M136" s="38">
        <f t="shared" si="80"/>
        <v>-1459</v>
      </c>
      <c r="N136" s="122"/>
      <c r="O136" s="123"/>
      <c r="P136" s="26">
        <f t="shared" si="81"/>
        <v>-1459</v>
      </c>
      <c r="Q136" s="117"/>
      <c r="R136" s="117"/>
      <c r="S136" s="38">
        <f t="shared" si="82"/>
        <v>-1459</v>
      </c>
      <c r="T136" s="106"/>
      <c r="U136" s="116"/>
      <c r="V136" s="20">
        <f t="shared" si="83"/>
        <v>-1459</v>
      </c>
      <c r="W136" s="143"/>
    </row>
    <row r="137" spans="1:23" ht="15.75" customHeight="1">
      <c r="A137" s="114"/>
      <c r="B137" s="122"/>
      <c r="C137" s="123"/>
      <c r="D137" s="26">
        <f t="shared" si="77"/>
        <v>-1459</v>
      </c>
      <c r="E137" s="117"/>
      <c r="F137" s="117"/>
      <c r="G137" s="19">
        <f t="shared" si="78"/>
        <v>-1459</v>
      </c>
      <c r="H137" s="122"/>
      <c r="I137" s="123"/>
      <c r="J137" s="26">
        <f t="shared" si="79"/>
        <v>-1459</v>
      </c>
      <c r="K137" s="117"/>
      <c r="L137" s="117"/>
      <c r="M137" s="38">
        <f t="shared" si="80"/>
        <v>-1459</v>
      </c>
      <c r="N137" s="122"/>
      <c r="O137" s="123"/>
      <c r="P137" s="26">
        <f t="shared" si="81"/>
        <v>-1459</v>
      </c>
      <c r="Q137" s="117"/>
      <c r="R137" s="117"/>
      <c r="S137" s="38">
        <f t="shared" si="82"/>
        <v>-1459</v>
      </c>
      <c r="T137" s="122"/>
      <c r="U137" s="124"/>
      <c r="V137" s="20">
        <f t="shared" si="83"/>
        <v>-1459</v>
      </c>
      <c r="W137" s="143"/>
    </row>
    <row r="138" spans="1:23" ht="15.75" customHeight="1">
      <c r="A138" s="114"/>
      <c r="B138" s="122"/>
      <c r="C138" s="123"/>
      <c r="D138" s="39">
        <f t="shared" si="77"/>
        <v>-1459</v>
      </c>
      <c r="E138" s="128"/>
      <c r="F138" s="128"/>
      <c r="G138" s="29">
        <f t="shared" si="78"/>
        <v>-1459</v>
      </c>
      <c r="H138" s="122"/>
      <c r="I138" s="123"/>
      <c r="J138" s="39">
        <f t="shared" si="79"/>
        <v>-1459</v>
      </c>
      <c r="K138" s="128"/>
      <c r="L138" s="128"/>
      <c r="M138" s="40">
        <f t="shared" si="80"/>
        <v>-1459</v>
      </c>
      <c r="N138" s="122"/>
      <c r="O138" s="123"/>
      <c r="P138" s="39">
        <f t="shared" si="81"/>
        <v>-1459</v>
      </c>
      <c r="Q138" s="128"/>
      <c r="R138" s="128"/>
      <c r="S138" s="40">
        <f t="shared" si="82"/>
        <v>-1459</v>
      </c>
      <c r="T138" s="122"/>
      <c r="U138" s="123"/>
      <c r="V138" s="49">
        <f t="shared" si="83"/>
        <v>-1459</v>
      </c>
      <c r="W138" s="143"/>
    </row>
    <row r="139" spans="1:23" ht="15.75" customHeight="1">
      <c r="A139" s="87"/>
      <c r="B139" s="77">
        <f ca="1">IFERROR(__xludf.DUMMYFUNCTION("DATE(VALUE(LEFT($B$2,4)),VALUE(MID($B$2,6,2)),VALUE(RIGHT($B$2,2)))
+ (VALUE(REGEXEXTRACT(INDIRECT(""A""&amp;ROW()+1),""\d+""))-1)*7
+ INT((COLUMN()-COLUMN($B139))/3)
"),47566)</f>
        <v>47566</v>
      </c>
      <c r="C139" s="81"/>
      <c r="D139" s="82"/>
      <c r="E139" s="77">
        <f ca="1">IFERROR(__xludf.DUMMYFUNCTION("DATE(VALUE(LEFT($B$2,4)),VALUE(MID($B$2,6,2)),VALUE(RIGHT($B$2,2)))
+ (VALUE(REGEXEXTRACT(INDIRECT(""A""&amp;ROW()+1),""\d+""))-1)*7
+ INT((COLUMN()-COLUMN($B139))/3)
"),47567)</f>
        <v>47567</v>
      </c>
      <c r="F139" s="81"/>
      <c r="G139" s="82"/>
      <c r="H139" s="77">
        <f ca="1">IFERROR(__xludf.DUMMYFUNCTION("DATE(VALUE(LEFT($B$2,4)),VALUE(MID($B$2,6,2)),VALUE(RIGHT($B$2,2)))
+ (VALUE(REGEXEXTRACT(INDIRECT(""A""&amp;ROW()+1),""\d+""))-1)*7
+ INT((COLUMN()-COLUMN($B139))/3)
"),47568)</f>
        <v>47568</v>
      </c>
      <c r="I139" s="81"/>
      <c r="J139" s="82"/>
      <c r="K139" s="77">
        <f ca="1">IFERROR(__xludf.DUMMYFUNCTION("DATE(VALUE(LEFT($B$2,4)),VALUE(MID($B$2,6,2)),VALUE(RIGHT($B$2,2)))
+ (VALUE(REGEXEXTRACT(INDIRECT(""A""&amp;ROW()+1),""\d+""))-1)*7
+ INT((COLUMN()-COLUMN($B139))/3)
"),47569)</f>
        <v>47569</v>
      </c>
      <c r="L139" s="81"/>
      <c r="M139" s="82"/>
      <c r="N139" s="77">
        <f ca="1">IFERROR(__xludf.DUMMYFUNCTION("DATE(VALUE(LEFT($B$2,4)),VALUE(MID($B$2,6,2)),VALUE(RIGHT($B$2,2)))
+ (VALUE(REGEXEXTRACT(INDIRECT(""A""&amp;ROW()+1),""\d+""))-1)*7
+ INT((COLUMN()-COLUMN($B139))/3)
"),47570)</f>
        <v>47570</v>
      </c>
      <c r="O139" s="81"/>
      <c r="P139" s="82"/>
      <c r="Q139" s="77">
        <f ca="1">IFERROR(__xludf.DUMMYFUNCTION("DATE(VALUE(LEFT($B$2,4)),VALUE(MID($B$2,6,2)),VALUE(RIGHT($B$2,2)))
+ (VALUE(REGEXEXTRACT(INDIRECT(""A""&amp;ROW()+1),""\d+""))-1)*7
+ INT((COLUMN()-COLUMN($B139))/3)
"),47571)</f>
        <v>47571</v>
      </c>
      <c r="R139" s="81"/>
      <c r="S139" s="82"/>
      <c r="T139" s="77">
        <f ca="1">IFERROR(__xludf.DUMMYFUNCTION("DATE(VALUE(LEFT($B$2,4)),VALUE(MID($B$2,6,2)),VALUE(RIGHT($B$2,2)))
+ (VALUE(REGEXEXTRACT(INDIRECT(""A""&amp;ROW()+1),""\d+""))-1)*7
+ INT((COLUMN()-COLUMN($B139))/3)
"),47572)</f>
        <v>47572</v>
      </c>
      <c r="U139" s="81"/>
      <c r="V139" s="82"/>
      <c r="W139" s="52" t="s">
        <v>20</v>
      </c>
    </row>
    <row r="140" spans="1:23" ht="15.75" customHeight="1">
      <c r="A140" s="47" t="s">
        <v>148</v>
      </c>
      <c r="B140" s="109"/>
      <c r="C140" s="109"/>
      <c r="D140" s="50">
        <f>V138+C140</f>
        <v>-1459</v>
      </c>
      <c r="E140" s="112"/>
      <c r="F140" s="111"/>
      <c r="G140" s="17">
        <f>D150+F140</f>
        <v>-1459</v>
      </c>
      <c r="H140" s="132"/>
      <c r="I140" s="109"/>
      <c r="J140" s="42">
        <f>G150+I140</f>
        <v>-1459</v>
      </c>
      <c r="K140" s="110"/>
      <c r="L140" s="111"/>
      <c r="M140" s="18">
        <f>J150+L140</f>
        <v>-1459</v>
      </c>
      <c r="N140" s="113"/>
      <c r="O140" s="109"/>
      <c r="P140" s="35">
        <f>M150+O140</f>
        <v>-1459</v>
      </c>
      <c r="Q140" s="112"/>
      <c r="R140" s="111"/>
      <c r="S140" s="18">
        <f>P150+R140</f>
        <v>-1459</v>
      </c>
      <c r="T140" s="113"/>
      <c r="U140" s="109"/>
      <c r="V140" s="50">
        <f>S150+U140</f>
        <v>-1459</v>
      </c>
      <c r="W140" s="172"/>
    </row>
    <row r="141" spans="1:23" ht="15.75" customHeight="1">
      <c r="A141" s="114"/>
      <c r="B141" s="117"/>
      <c r="C141" s="117"/>
      <c r="D141" s="45">
        <f t="shared" ref="D141:D150" si="84">D140+C141</f>
        <v>-1459</v>
      </c>
      <c r="E141" s="106"/>
      <c r="F141" s="116"/>
      <c r="G141" s="26">
        <f t="shared" ref="G141:G150" si="85">G140+F141</f>
        <v>-1459</v>
      </c>
      <c r="H141" s="133"/>
      <c r="I141" s="117"/>
      <c r="J141" s="19">
        <f t="shared" ref="J141:J150" si="86">J140+I141</f>
        <v>-1459</v>
      </c>
      <c r="K141" s="116"/>
      <c r="L141" s="107"/>
      <c r="M141" s="26">
        <f t="shared" ref="M141:M150" si="87">M140+L141</f>
        <v>-1459</v>
      </c>
      <c r="N141" s="136"/>
      <c r="O141" s="136"/>
      <c r="P141" s="38">
        <f t="shared" ref="P141:P150" si="88">P140+O141</f>
        <v>-1459</v>
      </c>
      <c r="Q141" s="106"/>
      <c r="R141" s="107"/>
      <c r="S141" s="26">
        <f t="shared" ref="S141:S150" si="89">S140+R141</f>
        <v>-1459</v>
      </c>
      <c r="T141" s="136"/>
      <c r="U141" s="136"/>
      <c r="V141" s="45">
        <f t="shared" ref="V141:V150" si="90">V140+U141</f>
        <v>-1459</v>
      </c>
      <c r="W141" s="143"/>
    </row>
    <row r="142" spans="1:23" ht="15.75" customHeight="1">
      <c r="A142" s="114"/>
      <c r="B142" s="117"/>
      <c r="C142" s="117"/>
      <c r="D142" s="45">
        <f t="shared" si="84"/>
        <v>-1459</v>
      </c>
      <c r="E142" s="106"/>
      <c r="F142" s="116"/>
      <c r="G142" s="26">
        <f t="shared" si="85"/>
        <v>-1459</v>
      </c>
      <c r="H142" s="133"/>
      <c r="I142" s="117"/>
      <c r="J142" s="19">
        <f t="shared" si="86"/>
        <v>-1459</v>
      </c>
      <c r="K142" s="116"/>
      <c r="L142" s="107"/>
      <c r="M142" s="26">
        <f t="shared" si="87"/>
        <v>-1459</v>
      </c>
      <c r="N142" s="117"/>
      <c r="O142" s="117"/>
      <c r="P142" s="38">
        <f t="shared" si="88"/>
        <v>-1459</v>
      </c>
      <c r="Q142" s="106"/>
      <c r="R142" s="107"/>
      <c r="S142" s="26">
        <f t="shared" si="89"/>
        <v>-1459</v>
      </c>
      <c r="T142" s="136"/>
      <c r="U142" s="136"/>
      <c r="V142" s="45">
        <f t="shared" si="90"/>
        <v>-1459</v>
      </c>
      <c r="W142" s="143"/>
    </row>
    <row r="143" spans="1:23" ht="15.75" customHeight="1">
      <c r="A143" s="114"/>
      <c r="B143" s="117"/>
      <c r="C143" s="117"/>
      <c r="D143" s="45">
        <f t="shared" si="84"/>
        <v>-1459</v>
      </c>
      <c r="E143" s="106"/>
      <c r="F143" s="116"/>
      <c r="G143" s="26">
        <f t="shared" si="85"/>
        <v>-1459</v>
      </c>
      <c r="H143" s="133"/>
      <c r="I143" s="117"/>
      <c r="J143" s="19">
        <f t="shared" si="86"/>
        <v>-1459</v>
      </c>
      <c r="K143" s="116"/>
      <c r="L143" s="107"/>
      <c r="M143" s="26">
        <f t="shared" si="87"/>
        <v>-1459</v>
      </c>
      <c r="N143" s="117"/>
      <c r="O143" s="117"/>
      <c r="P143" s="38">
        <f t="shared" si="88"/>
        <v>-1459</v>
      </c>
      <c r="Q143" s="106"/>
      <c r="R143" s="116"/>
      <c r="S143" s="26">
        <f t="shared" si="89"/>
        <v>-1459</v>
      </c>
      <c r="T143" s="136"/>
      <c r="U143" s="136"/>
      <c r="V143" s="45">
        <f t="shared" si="90"/>
        <v>-1459</v>
      </c>
      <c r="W143" s="143"/>
    </row>
    <row r="144" spans="1:23" ht="15.75" customHeight="1">
      <c r="A144" s="114"/>
      <c r="B144" s="117"/>
      <c r="C144" s="117"/>
      <c r="D144" s="45">
        <f t="shared" si="84"/>
        <v>-1459</v>
      </c>
      <c r="E144" s="106"/>
      <c r="F144" s="116"/>
      <c r="G144" s="26">
        <f t="shared" si="85"/>
        <v>-1459</v>
      </c>
      <c r="H144" s="133"/>
      <c r="I144" s="117"/>
      <c r="J144" s="19">
        <f t="shared" si="86"/>
        <v>-1459</v>
      </c>
      <c r="K144" s="116"/>
      <c r="L144" s="107"/>
      <c r="M144" s="26">
        <f t="shared" si="87"/>
        <v>-1459</v>
      </c>
      <c r="N144" s="117"/>
      <c r="O144" s="117"/>
      <c r="P144" s="38">
        <f t="shared" si="88"/>
        <v>-1459</v>
      </c>
      <c r="Q144" s="106"/>
      <c r="R144" s="116"/>
      <c r="S144" s="26">
        <f t="shared" si="89"/>
        <v>-1459</v>
      </c>
      <c r="T144" s="136"/>
      <c r="U144" s="136"/>
      <c r="V144" s="45">
        <f t="shared" si="90"/>
        <v>-1459</v>
      </c>
      <c r="W144" s="143"/>
    </row>
    <row r="145" spans="1:23" ht="15.75" customHeight="1">
      <c r="A145" s="114"/>
      <c r="B145" s="117"/>
      <c r="C145" s="117"/>
      <c r="D145" s="45">
        <f t="shared" si="84"/>
        <v>-1459</v>
      </c>
      <c r="E145" s="106"/>
      <c r="F145" s="116"/>
      <c r="G145" s="26">
        <f t="shared" si="85"/>
        <v>-1459</v>
      </c>
      <c r="H145" s="133"/>
      <c r="I145" s="117"/>
      <c r="J145" s="19">
        <f t="shared" si="86"/>
        <v>-1459</v>
      </c>
      <c r="K145" s="116"/>
      <c r="L145" s="107"/>
      <c r="M145" s="26">
        <f t="shared" si="87"/>
        <v>-1459</v>
      </c>
      <c r="N145" s="117"/>
      <c r="O145" s="117"/>
      <c r="P145" s="38">
        <f t="shared" si="88"/>
        <v>-1459</v>
      </c>
      <c r="Q145" s="106"/>
      <c r="R145" s="116"/>
      <c r="S145" s="26">
        <f t="shared" si="89"/>
        <v>-1459</v>
      </c>
      <c r="T145" s="136"/>
      <c r="U145" s="136"/>
      <c r="V145" s="45">
        <f t="shared" si="90"/>
        <v>-1459</v>
      </c>
      <c r="W145" s="143"/>
    </row>
    <row r="146" spans="1:23" ht="15.75" customHeight="1">
      <c r="A146" s="114"/>
      <c r="B146" s="117"/>
      <c r="C146" s="117"/>
      <c r="D146" s="45">
        <f t="shared" si="84"/>
        <v>-1459</v>
      </c>
      <c r="E146" s="106"/>
      <c r="F146" s="107"/>
      <c r="G146" s="26">
        <f t="shared" si="85"/>
        <v>-1459</v>
      </c>
      <c r="H146" s="133"/>
      <c r="I146" s="117"/>
      <c r="J146" s="19">
        <f t="shared" si="86"/>
        <v>-1459</v>
      </c>
      <c r="K146" s="116"/>
      <c r="L146" s="107"/>
      <c r="M146" s="26">
        <f t="shared" si="87"/>
        <v>-1459</v>
      </c>
      <c r="N146" s="117"/>
      <c r="O146" s="117"/>
      <c r="P146" s="38">
        <f t="shared" si="88"/>
        <v>-1459</v>
      </c>
      <c r="Q146" s="106"/>
      <c r="R146" s="107"/>
      <c r="S146" s="26">
        <f t="shared" si="89"/>
        <v>-1459</v>
      </c>
      <c r="T146" s="136"/>
      <c r="U146" s="136"/>
      <c r="V146" s="45">
        <f t="shared" si="90"/>
        <v>-1459</v>
      </c>
      <c r="W146" s="143"/>
    </row>
    <row r="147" spans="1:23" ht="15.75" customHeight="1">
      <c r="A147" s="114"/>
      <c r="B147" s="117"/>
      <c r="C147" s="117"/>
      <c r="D147" s="45">
        <f t="shared" si="84"/>
        <v>-1459</v>
      </c>
      <c r="E147" s="106"/>
      <c r="F147" s="107"/>
      <c r="G147" s="26">
        <f t="shared" si="85"/>
        <v>-1459</v>
      </c>
      <c r="H147" s="133"/>
      <c r="I147" s="117"/>
      <c r="J147" s="19">
        <f t="shared" si="86"/>
        <v>-1459</v>
      </c>
      <c r="K147" s="116"/>
      <c r="L147" s="107"/>
      <c r="M147" s="26">
        <f t="shared" si="87"/>
        <v>-1459</v>
      </c>
      <c r="N147" s="117"/>
      <c r="O147" s="117"/>
      <c r="P147" s="38">
        <f t="shared" si="88"/>
        <v>-1459</v>
      </c>
      <c r="Q147" s="106"/>
      <c r="R147" s="107"/>
      <c r="S147" s="26">
        <f t="shared" si="89"/>
        <v>-1459</v>
      </c>
      <c r="T147" s="136"/>
      <c r="U147" s="136"/>
      <c r="V147" s="45">
        <f t="shared" si="90"/>
        <v>-1459</v>
      </c>
      <c r="W147" s="143"/>
    </row>
    <row r="148" spans="1:23" ht="15.75" customHeight="1">
      <c r="A148" s="114"/>
      <c r="B148" s="117"/>
      <c r="C148" s="117"/>
      <c r="D148" s="45">
        <f t="shared" si="84"/>
        <v>-1459</v>
      </c>
      <c r="E148" s="106"/>
      <c r="F148" s="107"/>
      <c r="G148" s="26">
        <f t="shared" si="85"/>
        <v>-1459</v>
      </c>
      <c r="H148" s="133"/>
      <c r="I148" s="117"/>
      <c r="J148" s="19">
        <f t="shared" si="86"/>
        <v>-1459</v>
      </c>
      <c r="K148" s="116"/>
      <c r="L148" s="107"/>
      <c r="M148" s="26">
        <f t="shared" si="87"/>
        <v>-1459</v>
      </c>
      <c r="N148" s="117"/>
      <c r="O148" s="117"/>
      <c r="P148" s="38">
        <f t="shared" si="88"/>
        <v>-1459</v>
      </c>
      <c r="Q148" s="106"/>
      <c r="R148" s="107"/>
      <c r="S148" s="26">
        <f t="shared" si="89"/>
        <v>-1459</v>
      </c>
      <c r="T148" s="136"/>
      <c r="U148" s="136"/>
      <c r="V148" s="45">
        <f t="shared" si="90"/>
        <v>-1459</v>
      </c>
      <c r="W148" s="143"/>
    </row>
    <row r="149" spans="1:23" ht="15.75" customHeight="1">
      <c r="A149" s="114"/>
      <c r="B149" s="117"/>
      <c r="C149" s="117"/>
      <c r="D149" s="45">
        <f t="shared" si="84"/>
        <v>-1459</v>
      </c>
      <c r="E149" s="122"/>
      <c r="F149" s="123"/>
      <c r="G149" s="26">
        <f t="shared" si="85"/>
        <v>-1459</v>
      </c>
      <c r="H149" s="133"/>
      <c r="I149" s="117"/>
      <c r="J149" s="19">
        <f t="shared" si="86"/>
        <v>-1459</v>
      </c>
      <c r="K149" s="124"/>
      <c r="L149" s="123"/>
      <c r="M149" s="26">
        <f t="shared" si="87"/>
        <v>-1459</v>
      </c>
      <c r="N149" s="117"/>
      <c r="O149" s="117"/>
      <c r="P149" s="38">
        <f t="shared" si="88"/>
        <v>-1459</v>
      </c>
      <c r="Q149" s="122"/>
      <c r="R149" s="123"/>
      <c r="S149" s="26">
        <f t="shared" si="89"/>
        <v>-1459</v>
      </c>
      <c r="T149" s="136"/>
      <c r="U149" s="136"/>
      <c r="V149" s="45">
        <f t="shared" si="90"/>
        <v>-1459</v>
      </c>
      <c r="W149" s="143"/>
    </row>
    <row r="150" spans="1:23" ht="15.75" customHeight="1">
      <c r="A150" s="114"/>
      <c r="B150" s="128"/>
      <c r="C150" s="128"/>
      <c r="D150" s="46">
        <f t="shared" si="84"/>
        <v>-1459</v>
      </c>
      <c r="E150" s="122"/>
      <c r="F150" s="123"/>
      <c r="G150" s="39">
        <f t="shared" si="85"/>
        <v>-1459</v>
      </c>
      <c r="H150" s="140"/>
      <c r="I150" s="128"/>
      <c r="J150" s="29">
        <f t="shared" si="86"/>
        <v>-1459</v>
      </c>
      <c r="K150" s="124"/>
      <c r="L150" s="123"/>
      <c r="M150" s="39">
        <f t="shared" si="87"/>
        <v>-1459</v>
      </c>
      <c r="N150" s="128"/>
      <c r="O150" s="128"/>
      <c r="P150" s="40">
        <f t="shared" si="88"/>
        <v>-1459</v>
      </c>
      <c r="Q150" s="122"/>
      <c r="R150" s="123"/>
      <c r="S150" s="39">
        <f t="shared" si="89"/>
        <v>-1459</v>
      </c>
      <c r="T150" s="141"/>
      <c r="U150" s="141"/>
      <c r="V150" s="46">
        <f t="shared" si="90"/>
        <v>-1459</v>
      </c>
      <c r="W150" s="143"/>
    </row>
    <row r="151" spans="1:23" ht="15.75" customHeight="1">
      <c r="A151" s="87"/>
      <c r="B151" s="77">
        <f ca="1">IFERROR(__xludf.DUMMYFUNCTION("DATE(VALUE(LEFT($B$2,4)),VALUE(MID($B$2,6,2)),VALUE(RIGHT($B$2,2)))
+ (VALUE(REGEXEXTRACT(INDIRECT(""A""&amp;ROW()+1),""\d+""))-1)*7
+ INT((COLUMN()-COLUMN($B151))/3)
"),47573)</f>
        <v>47573</v>
      </c>
      <c r="C151" s="81"/>
      <c r="D151" s="82"/>
      <c r="E151" s="77">
        <f ca="1">IFERROR(__xludf.DUMMYFUNCTION("DATE(VALUE(LEFT($B$2,4)),VALUE(MID($B$2,6,2)),VALUE(RIGHT($B$2,2)))
+ (VALUE(REGEXEXTRACT(INDIRECT(""A""&amp;ROW()+1),""\d+""))-1)*7
+ INT((COLUMN()-COLUMN($B151))/3)
"),47574)</f>
        <v>47574</v>
      </c>
      <c r="F151" s="81"/>
      <c r="G151" s="82"/>
      <c r="H151" s="77">
        <f ca="1">IFERROR(__xludf.DUMMYFUNCTION("DATE(VALUE(LEFT($B$2,4)),VALUE(MID($B$2,6,2)),VALUE(RIGHT($B$2,2)))
+ (VALUE(REGEXEXTRACT(INDIRECT(""A""&amp;ROW()+1),""\d+""))-1)*7
+ INT((COLUMN()-COLUMN($B151))/3)
"),47575)</f>
        <v>47575</v>
      </c>
      <c r="I151" s="81"/>
      <c r="J151" s="82"/>
      <c r="K151" s="77">
        <f ca="1">IFERROR(__xludf.DUMMYFUNCTION("DATE(VALUE(LEFT($B$2,4)),VALUE(MID($B$2,6,2)),VALUE(RIGHT($B$2,2)))
+ (VALUE(REGEXEXTRACT(INDIRECT(""A""&amp;ROW()+1),""\d+""))-1)*7
+ INT((COLUMN()-COLUMN($B151))/3)
"),47576)</f>
        <v>47576</v>
      </c>
      <c r="L151" s="81"/>
      <c r="M151" s="82"/>
      <c r="N151" s="77">
        <f ca="1">IFERROR(__xludf.DUMMYFUNCTION("DATE(VALUE(LEFT($B$2,4)),VALUE(MID($B$2,6,2)),VALUE(RIGHT($B$2,2)))
+ (VALUE(REGEXEXTRACT(INDIRECT(""A""&amp;ROW()+1),""\d+""))-1)*7
+ INT((COLUMN()-COLUMN($B151))/3)
"),47577)</f>
        <v>47577</v>
      </c>
      <c r="O151" s="81"/>
      <c r="P151" s="82"/>
      <c r="Q151" s="77">
        <f ca="1">IFERROR(__xludf.DUMMYFUNCTION("DATE(VALUE(LEFT($B$2,4)),VALUE(MID($B$2,6,2)),VALUE(RIGHT($B$2,2)))
+ (VALUE(REGEXEXTRACT(INDIRECT(""A""&amp;ROW()+1),""\d+""))-1)*7
+ INT((COLUMN()-COLUMN($B151))/3)
"),47578)</f>
        <v>47578</v>
      </c>
      <c r="R151" s="81"/>
      <c r="S151" s="82"/>
      <c r="T151" s="77">
        <f ca="1">IFERROR(__xludf.DUMMYFUNCTION("DATE(VALUE(LEFT($B$2,4)),VALUE(MID($B$2,6,2)),VALUE(RIGHT($B$2,2)))
+ (VALUE(REGEXEXTRACT(INDIRECT(""A""&amp;ROW()+1),""\d+""))-1)*7
+ INT((COLUMN()-COLUMN($B151))/3)
"),47579)</f>
        <v>47579</v>
      </c>
      <c r="U151" s="81"/>
      <c r="V151" s="82"/>
      <c r="W151" s="143"/>
    </row>
    <row r="152" spans="1:23" ht="15.75" customHeight="1">
      <c r="A152" s="51" t="s">
        <v>149</v>
      </c>
      <c r="B152" s="112"/>
      <c r="C152" s="111"/>
      <c r="D152" s="48">
        <f>V150+C152</f>
        <v>-1459</v>
      </c>
      <c r="E152" s="113"/>
      <c r="F152" s="109"/>
      <c r="G152" s="42">
        <f>D162+F152</f>
        <v>-1459</v>
      </c>
      <c r="H152" s="110"/>
      <c r="I152" s="111"/>
      <c r="J152" s="17">
        <f>G162+I152</f>
        <v>-1459</v>
      </c>
      <c r="K152" s="132"/>
      <c r="L152" s="109"/>
      <c r="M152" s="35">
        <f>J162+L152</f>
        <v>-1459</v>
      </c>
      <c r="N152" s="112"/>
      <c r="O152" s="111"/>
      <c r="P152" s="17">
        <f>M162+O152</f>
        <v>-1459</v>
      </c>
      <c r="Q152" s="109"/>
      <c r="R152" s="109"/>
      <c r="S152" s="35">
        <f>P162+R152</f>
        <v>-1459</v>
      </c>
      <c r="T152" s="112"/>
      <c r="U152" s="111"/>
      <c r="V152" s="48">
        <f>S162+U152</f>
        <v>-1459</v>
      </c>
      <c r="W152" s="143"/>
    </row>
    <row r="153" spans="1:23" ht="15.75" customHeight="1">
      <c r="A153" s="114"/>
      <c r="B153" s="106"/>
      <c r="C153" s="107"/>
      <c r="D153" s="20">
        <f t="shared" ref="D153:D162" si="91">D152+C153</f>
        <v>-1459</v>
      </c>
      <c r="E153" s="118"/>
      <c r="F153" s="117"/>
      <c r="G153" s="19">
        <f t="shared" ref="G153:G162" si="92">G152+F153</f>
        <v>-1459</v>
      </c>
      <c r="H153" s="116"/>
      <c r="I153" s="107"/>
      <c r="J153" s="26">
        <f t="shared" ref="J153:J162" si="93">J152+I153</f>
        <v>-1459</v>
      </c>
      <c r="K153" s="133"/>
      <c r="L153" s="117"/>
      <c r="M153" s="38">
        <f t="shared" ref="M153:M162" si="94">M152+L153</f>
        <v>-1459</v>
      </c>
      <c r="N153" s="106"/>
      <c r="O153" s="107"/>
      <c r="P153" s="26">
        <f t="shared" ref="P153:P162" si="95">P152+O153</f>
        <v>-1459</v>
      </c>
      <c r="Q153" s="117"/>
      <c r="R153" s="117"/>
      <c r="S153" s="38">
        <f t="shared" ref="S153:S162" si="96">S152+R153</f>
        <v>-1459</v>
      </c>
      <c r="T153" s="106"/>
      <c r="U153" s="107"/>
      <c r="V153" s="20">
        <f t="shared" ref="V153:V162" si="97">V152+U153</f>
        <v>-1459</v>
      </c>
      <c r="W153" s="143"/>
    </row>
    <row r="154" spans="1:23" ht="15.75" customHeight="1">
      <c r="A154" s="114"/>
      <c r="B154" s="106"/>
      <c r="C154" s="107"/>
      <c r="D154" s="20">
        <f t="shared" si="91"/>
        <v>-1459</v>
      </c>
      <c r="E154" s="118"/>
      <c r="F154" s="117"/>
      <c r="G154" s="19">
        <f t="shared" si="92"/>
        <v>-1459</v>
      </c>
      <c r="H154" s="116"/>
      <c r="I154" s="107"/>
      <c r="J154" s="26">
        <f t="shared" si="93"/>
        <v>-1459</v>
      </c>
      <c r="K154" s="133"/>
      <c r="L154" s="117"/>
      <c r="M154" s="38">
        <f t="shared" si="94"/>
        <v>-1459</v>
      </c>
      <c r="N154" s="106"/>
      <c r="O154" s="107"/>
      <c r="P154" s="26">
        <f t="shared" si="95"/>
        <v>-1459</v>
      </c>
      <c r="Q154" s="117"/>
      <c r="R154" s="117"/>
      <c r="S154" s="38">
        <f t="shared" si="96"/>
        <v>-1459</v>
      </c>
      <c r="T154" s="106"/>
      <c r="U154" s="116"/>
      <c r="V154" s="20">
        <f t="shared" si="97"/>
        <v>-1459</v>
      </c>
      <c r="W154" s="143"/>
    </row>
    <row r="155" spans="1:23" ht="15.75" customHeight="1">
      <c r="A155" s="114"/>
      <c r="B155" s="106"/>
      <c r="C155" s="107"/>
      <c r="D155" s="20">
        <f t="shared" si="91"/>
        <v>-1459</v>
      </c>
      <c r="E155" s="118"/>
      <c r="F155" s="117"/>
      <c r="G155" s="19">
        <f t="shared" si="92"/>
        <v>-1459</v>
      </c>
      <c r="H155" s="116"/>
      <c r="I155" s="107"/>
      <c r="J155" s="26">
        <f t="shared" si="93"/>
        <v>-1459</v>
      </c>
      <c r="K155" s="133"/>
      <c r="L155" s="117"/>
      <c r="M155" s="38">
        <f t="shared" si="94"/>
        <v>-1459</v>
      </c>
      <c r="N155" s="106"/>
      <c r="O155" s="107"/>
      <c r="P155" s="26">
        <f t="shared" si="95"/>
        <v>-1459</v>
      </c>
      <c r="Q155" s="117"/>
      <c r="R155" s="117"/>
      <c r="S155" s="38">
        <f t="shared" si="96"/>
        <v>-1459</v>
      </c>
      <c r="T155" s="106"/>
      <c r="U155" s="116"/>
      <c r="V155" s="20">
        <f t="shared" si="97"/>
        <v>-1459</v>
      </c>
      <c r="W155" s="143"/>
    </row>
    <row r="156" spans="1:23" ht="15.75" customHeight="1">
      <c r="A156" s="114"/>
      <c r="B156" s="106"/>
      <c r="C156" s="107"/>
      <c r="D156" s="20">
        <f t="shared" si="91"/>
        <v>-1459</v>
      </c>
      <c r="E156" s="118"/>
      <c r="F156" s="117"/>
      <c r="G156" s="19">
        <f t="shared" si="92"/>
        <v>-1459</v>
      </c>
      <c r="H156" s="116"/>
      <c r="I156" s="107"/>
      <c r="J156" s="26">
        <f t="shared" si="93"/>
        <v>-1459</v>
      </c>
      <c r="K156" s="133"/>
      <c r="L156" s="117"/>
      <c r="M156" s="38">
        <f t="shared" si="94"/>
        <v>-1459</v>
      </c>
      <c r="N156" s="106"/>
      <c r="O156" s="107"/>
      <c r="P156" s="26">
        <f t="shared" si="95"/>
        <v>-1459</v>
      </c>
      <c r="Q156" s="117"/>
      <c r="R156" s="117"/>
      <c r="S156" s="38">
        <f t="shared" si="96"/>
        <v>-1459</v>
      </c>
      <c r="T156" s="106"/>
      <c r="U156" s="116"/>
      <c r="V156" s="20">
        <f t="shared" si="97"/>
        <v>-1459</v>
      </c>
      <c r="W156" s="143"/>
    </row>
    <row r="157" spans="1:23" ht="15.75" customHeight="1">
      <c r="A157" s="114"/>
      <c r="B157" s="106"/>
      <c r="C157" s="107"/>
      <c r="D157" s="20">
        <f t="shared" si="91"/>
        <v>-1459</v>
      </c>
      <c r="E157" s="118"/>
      <c r="F157" s="117"/>
      <c r="G157" s="19">
        <f t="shared" si="92"/>
        <v>-1459</v>
      </c>
      <c r="H157" s="116"/>
      <c r="I157" s="107"/>
      <c r="J157" s="26">
        <f t="shared" si="93"/>
        <v>-1459</v>
      </c>
      <c r="K157" s="117"/>
      <c r="L157" s="117"/>
      <c r="M157" s="38">
        <f t="shared" si="94"/>
        <v>-1459</v>
      </c>
      <c r="N157" s="106"/>
      <c r="O157" s="107"/>
      <c r="P157" s="26">
        <f t="shared" si="95"/>
        <v>-1459</v>
      </c>
      <c r="Q157" s="117"/>
      <c r="R157" s="117"/>
      <c r="S157" s="38">
        <f t="shared" si="96"/>
        <v>-1459</v>
      </c>
      <c r="T157" s="106"/>
      <c r="U157" s="116"/>
      <c r="V157" s="20">
        <f t="shared" si="97"/>
        <v>-1459</v>
      </c>
      <c r="W157" s="143"/>
    </row>
    <row r="158" spans="1:23" ht="15.75" customHeight="1">
      <c r="A158" s="114"/>
      <c r="B158" s="106"/>
      <c r="C158" s="107"/>
      <c r="D158" s="20">
        <f t="shared" si="91"/>
        <v>-1459</v>
      </c>
      <c r="E158" s="118"/>
      <c r="F158" s="117"/>
      <c r="G158" s="19">
        <f t="shared" si="92"/>
        <v>-1459</v>
      </c>
      <c r="H158" s="116"/>
      <c r="I158" s="107"/>
      <c r="J158" s="26">
        <f t="shared" si="93"/>
        <v>-1459</v>
      </c>
      <c r="K158" s="117"/>
      <c r="L158" s="117"/>
      <c r="M158" s="38">
        <f t="shared" si="94"/>
        <v>-1459</v>
      </c>
      <c r="N158" s="106"/>
      <c r="O158" s="107"/>
      <c r="P158" s="26">
        <f t="shared" si="95"/>
        <v>-1459</v>
      </c>
      <c r="Q158" s="117"/>
      <c r="R158" s="117"/>
      <c r="S158" s="38">
        <f t="shared" si="96"/>
        <v>-1459</v>
      </c>
      <c r="T158" s="106"/>
      <c r="U158" s="116"/>
      <c r="V158" s="20">
        <f t="shared" si="97"/>
        <v>-1459</v>
      </c>
      <c r="W158" s="143"/>
    </row>
    <row r="159" spans="1:23" ht="15.75" customHeight="1">
      <c r="A159" s="114"/>
      <c r="B159" s="106"/>
      <c r="C159" s="107"/>
      <c r="D159" s="20">
        <f t="shared" si="91"/>
        <v>-1459</v>
      </c>
      <c r="E159" s="118"/>
      <c r="F159" s="117"/>
      <c r="G159" s="19">
        <f t="shared" si="92"/>
        <v>-1459</v>
      </c>
      <c r="H159" s="116"/>
      <c r="I159" s="107"/>
      <c r="J159" s="26">
        <f t="shared" si="93"/>
        <v>-1459</v>
      </c>
      <c r="K159" s="117"/>
      <c r="L159" s="117"/>
      <c r="M159" s="38">
        <f t="shared" si="94"/>
        <v>-1459</v>
      </c>
      <c r="N159" s="106"/>
      <c r="O159" s="107"/>
      <c r="P159" s="26">
        <f t="shared" si="95"/>
        <v>-1459</v>
      </c>
      <c r="Q159" s="117"/>
      <c r="R159" s="117"/>
      <c r="S159" s="38">
        <f t="shared" si="96"/>
        <v>-1459</v>
      </c>
      <c r="T159" s="106"/>
      <c r="U159" s="116"/>
      <c r="V159" s="20">
        <f t="shared" si="97"/>
        <v>-1459</v>
      </c>
      <c r="W159" s="143"/>
    </row>
    <row r="160" spans="1:23" ht="15.75" customHeight="1">
      <c r="A160" s="114"/>
      <c r="B160" s="122"/>
      <c r="C160" s="123"/>
      <c r="D160" s="20">
        <f t="shared" si="91"/>
        <v>-1459</v>
      </c>
      <c r="E160" s="118"/>
      <c r="F160" s="117"/>
      <c r="G160" s="19">
        <f t="shared" si="92"/>
        <v>-1459</v>
      </c>
      <c r="H160" s="124"/>
      <c r="I160" s="123"/>
      <c r="J160" s="26">
        <f t="shared" si="93"/>
        <v>-1459</v>
      </c>
      <c r="K160" s="117"/>
      <c r="L160" s="117"/>
      <c r="M160" s="38">
        <f t="shared" si="94"/>
        <v>-1459</v>
      </c>
      <c r="N160" s="106"/>
      <c r="O160" s="107"/>
      <c r="P160" s="26">
        <f t="shared" si="95"/>
        <v>-1459</v>
      </c>
      <c r="Q160" s="117"/>
      <c r="R160" s="117"/>
      <c r="S160" s="38">
        <f t="shared" si="96"/>
        <v>-1459</v>
      </c>
      <c r="T160" s="106"/>
      <c r="U160" s="116"/>
      <c r="V160" s="20">
        <f t="shared" si="97"/>
        <v>-1459</v>
      </c>
      <c r="W160" s="143"/>
    </row>
    <row r="161" spans="1:23" ht="15.75" customHeight="1">
      <c r="A161" s="114"/>
      <c r="B161" s="122"/>
      <c r="C161" s="123"/>
      <c r="D161" s="20">
        <f t="shared" si="91"/>
        <v>-1459</v>
      </c>
      <c r="E161" s="118"/>
      <c r="F161" s="117"/>
      <c r="G161" s="19">
        <f t="shared" si="92"/>
        <v>-1459</v>
      </c>
      <c r="H161" s="124"/>
      <c r="I161" s="123"/>
      <c r="J161" s="26">
        <f t="shared" si="93"/>
        <v>-1459</v>
      </c>
      <c r="K161" s="118"/>
      <c r="L161" s="117"/>
      <c r="M161" s="38">
        <f t="shared" si="94"/>
        <v>-1459</v>
      </c>
      <c r="N161" s="106"/>
      <c r="O161" s="107"/>
      <c r="P161" s="26">
        <f t="shared" si="95"/>
        <v>-1459</v>
      </c>
      <c r="Q161" s="117"/>
      <c r="R161" s="117"/>
      <c r="S161" s="38">
        <f t="shared" si="96"/>
        <v>-1459</v>
      </c>
      <c r="T161" s="122"/>
      <c r="U161" s="124"/>
      <c r="V161" s="20">
        <f t="shared" si="97"/>
        <v>-1459</v>
      </c>
      <c r="W161" s="143"/>
    </row>
    <row r="162" spans="1:23" ht="15.75" customHeight="1">
      <c r="A162" s="114"/>
      <c r="B162" s="122"/>
      <c r="C162" s="123"/>
      <c r="D162" s="49">
        <f t="shared" si="91"/>
        <v>-1459</v>
      </c>
      <c r="E162" s="154"/>
      <c r="F162" s="128"/>
      <c r="G162" s="29">
        <f t="shared" si="92"/>
        <v>-1459</v>
      </c>
      <c r="H162" s="124"/>
      <c r="I162" s="123"/>
      <c r="J162" s="39">
        <f t="shared" si="93"/>
        <v>-1459</v>
      </c>
      <c r="K162" s="140"/>
      <c r="L162" s="128"/>
      <c r="M162" s="40">
        <f t="shared" si="94"/>
        <v>-1459</v>
      </c>
      <c r="N162" s="122"/>
      <c r="O162" s="123"/>
      <c r="P162" s="39">
        <f t="shared" si="95"/>
        <v>-1459</v>
      </c>
      <c r="Q162" s="128"/>
      <c r="R162" s="128"/>
      <c r="S162" s="40">
        <f t="shared" si="96"/>
        <v>-1459</v>
      </c>
      <c r="T162" s="122"/>
      <c r="U162" s="123"/>
      <c r="V162" s="49">
        <f t="shared" si="97"/>
        <v>-1459</v>
      </c>
      <c r="W162" s="143"/>
    </row>
    <row r="163" spans="1:23" ht="15.75" customHeight="1">
      <c r="A163" s="87"/>
      <c r="B163" s="77">
        <f ca="1">IFERROR(__xludf.DUMMYFUNCTION("DATE(VALUE(LEFT($B$2,4)),VALUE(MID($B$2,6,2)),VALUE(RIGHT($B$2,2)))
+ (VALUE(REGEXEXTRACT(INDIRECT(""A""&amp;ROW()+1),""\d+""))-1)*7
+ INT((COLUMN()-COLUMN($B163))/3)
"),47580)</f>
        <v>47580</v>
      </c>
      <c r="C163" s="81"/>
      <c r="D163" s="82"/>
      <c r="E163" s="77">
        <f ca="1">IFERROR(__xludf.DUMMYFUNCTION("DATE(VALUE(LEFT($B$2,4)),VALUE(MID($B$2,6,2)),VALUE(RIGHT($B$2,2)))
+ (VALUE(REGEXEXTRACT(INDIRECT(""A""&amp;ROW()+1),""\d+""))-1)*7
+ INT((COLUMN()-COLUMN($B163))/3)
"),47581)</f>
        <v>47581</v>
      </c>
      <c r="F163" s="81"/>
      <c r="G163" s="82"/>
      <c r="H163" s="77">
        <f ca="1">IFERROR(__xludf.DUMMYFUNCTION("DATE(VALUE(LEFT($B$2,4)),VALUE(MID($B$2,6,2)),VALUE(RIGHT($B$2,2)))
+ (VALUE(REGEXEXTRACT(INDIRECT(""A""&amp;ROW()+1),""\d+""))-1)*7
+ INT((COLUMN()-COLUMN($B163))/3)
"),47582)</f>
        <v>47582</v>
      </c>
      <c r="I163" s="81"/>
      <c r="J163" s="82"/>
      <c r="K163" s="77">
        <f ca="1">IFERROR(__xludf.DUMMYFUNCTION("DATE(VALUE(LEFT($B$2,4)),VALUE(MID($B$2,6,2)),VALUE(RIGHT($B$2,2)))
+ (VALUE(REGEXEXTRACT(INDIRECT(""A""&amp;ROW()+1),""\d+""))-1)*7
+ INT((COLUMN()-COLUMN($B163))/3)
"),47583)</f>
        <v>47583</v>
      </c>
      <c r="L163" s="81"/>
      <c r="M163" s="82"/>
      <c r="N163" s="77">
        <f ca="1">IFERROR(__xludf.DUMMYFUNCTION("DATE(VALUE(LEFT($B$2,4)),VALUE(MID($B$2,6,2)),VALUE(RIGHT($B$2,2)))
+ (VALUE(REGEXEXTRACT(INDIRECT(""A""&amp;ROW()+1),""\d+""))-1)*7
+ INT((COLUMN()-COLUMN($B163))/3)
"),47584)</f>
        <v>47584</v>
      </c>
      <c r="O163" s="81"/>
      <c r="P163" s="82"/>
      <c r="Q163" s="77">
        <f ca="1">IFERROR(__xludf.DUMMYFUNCTION("DATE(VALUE(LEFT($B$2,4)),VALUE(MID($B$2,6,2)),VALUE(RIGHT($B$2,2)))
+ (VALUE(REGEXEXTRACT(INDIRECT(""A""&amp;ROW()+1),""\d+""))-1)*7
+ INT((COLUMN()-COLUMN($B163))/3)
"),47585)</f>
        <v>47585</v>
      </c>
      <c r="R163" s="81"/>
      <c r="S163" s="82"/>
      <c r="T163" s="77">
        <f ca="1">IFERROR(__xludf.DUMMYFUNCTION("DATE(VALUE(LEFT($B$2,4)),VALUE(MID($B$2,6,2)),VALUE(RIGHT($B$2,2)))
+ (VALUE(REGEXEXTRACT(INDIRECT(""A""&amp;ROW()+1),""\d+""))-1)*7
+ INT((COLUMN()-COLUMN($B163))/3)
"),47586)</f>
        <v>47586</v>
      </c>
      <c r="U163" s="81"/>
      <c r="V163" s="82"/>
      <c r="W163" s="52" t="s">
        <v>20</v>
      </c>
    </row>
    <row r="164" spans="1:23" ht="15.75" customHeight="1">
      <c r="A164" s="47" t="s">
        <v>150</v>
      </c>
      <c r="B164" s="109"/>
      <c r="C164" s="109"/>
      <c r="D164" s="50">
        <f>V162+C164</f>
        <v>-1459</v>
      </c>
      <c r="E164" s="112"/>
      <c r="F164" s="111"/>
      <c r="G164" s="17">
        <f>D174+F164</f>
        <v>-1459</v>
      </c>
      <c r="H164" s="132"/>
      <c r="I164" s="109"/>
      <c r="J164" s="42">
        <f>G174+I164</f>
        <v>-1459</v>
      </c>
      <c r="K164" s="110"/>
      <c r="L164" s="111"/>
      <c r="M164" s="18">
        <f>J174+L164</f>
        <v>-1459</v>
      </c>
      <c r="N164" s="113"/>
      <c r="O164" s="109"/>
      <c r="P164" s="35">
        <f>M174+O164</f>
        <v>-1459</v>
      </c>
      <c r="Q164" s="112"/>
      <c r="R164" s="111"/>
      <c r="S164" s="18">
        <f>P174+R164</f>
        <v>-1459</v>
      </c>
      <c r="T164" s="113"/>
      <c r="U164" s="109"/>
      <c r="V164" s="50">
        <f>S174+U164</f>
        <v>-1459</v>
      </c>
      <c r="W164" s="172"/>
    </row>
    <row r="165" spans="1:23" ht="15.75" customHeight="1">
      <c r="A165" s="114"/>
      <c r="B165" s="117"/>
      <c r="C165" s="117"/>
      <c r="D165" s="45">
        <f t="shared" ref="D165:D174" si="98">D164+C165</f>
        <v>-1459</v>
      </c>
      <c r="E165" s="106"/>
      <c r="F165" s="107"/>
      <c r="G165" s="26">
        <f t="shared" ref="G165:G174" si="99">G164+F165</f>
        <v>-1459</v>
      </c>
      <c r="H165" s="117"/>
      <c r="I165" s="117"/>
      <c r="J165" s="19">
        <f t="shared" ref="J165:J174" si="100">J164+I165</f>
        <v>-1459</v>
      </c>
      <c r="K165" s="106"/>
      <c r="L165" s="107"/>
      <c r="M165" s="26">
        <f t="shared" ref="M165:M174" si="101">M164+L165</f>
        <v>-1459</v>
      </c>
      <c r="N165" s="118"/>
      <c r="O165" s="117"/>
      <c r="P165" s="38">
        <f t="shared" ref="P165:P174" si="102">P164+O165</f>
        <v>-1459</v>
      </c>
      <c r="Q165" s="106"/>
      <c r="R165" s="107"/>
      <c r="S165" s="26">
        <f t="shared" ref="S165:S174" si="103">S164+R165</f>
        <v>-1459</v>
      </c>
      <c r="T165" s="136"/>
      <c r="U165" s="136"/>
      <c r="V165" s="45">
        <f t="shared" ref="V165:V174" si="104">V164+U165</f>
        <v>-1459</v>
      </c>
      <c r="W165" s="143"/>
    </row>
    <row r="166" spans="1:23" ht="15.75" customHeight="1">
      <c r="A166" s="114"/>
      <c r="B166" s="117"/>
      <c r="C166" s="117"/>
      <c r="D166" s="45">
        <f t="shared" si="98"/>
        <v>-1459</v>
      </c>
      <c r="E166" s="106"/>
      <c r="F166" s="107"/>
      <c r="G166" s="26">
        <f t="shared" si="99"/>
        <v>-1459</v>
      </c>
      <c r="H166" s="117"/>
      <c r="I166" s="117"/>
      <c r="J166" s="19">
        <f t="shared" si="100"/>
        <v>-1459</v>
      </c>
      <c r="K166" s="106"/>
      <c r="L166" s="107"/>
      <c r="M166" s="26">
        <f t="shared" si="101"/>
        <v>-1459</v>
      </c>
      <c r="N166" s="118"/>
      <c r="O166" s="117"/>
      <c r="P166" s="38">
        <f t="shared" si="102"/>
        <v>-1459</v>
      </c>
      <c r="Q166" s="106"/>
      <c r="R166" s="107"/>
      <c r="S166" s="26">
        <f t="shared" si="103"/>
        <v>-1459</v>
      </c>
      <c r="T166" s="136"/>
      <c r="U166" s="136"/>
      <c r="V166" s="45">
        <f t="shared" si="104"/>
        <v>-1459</v>
      </c>
      <c r="W166" s="143"/>
    </row>
    <row r="167" spans="1:23" ht="15.75" customHeight="1">
      <c r="A167" s="114"/>
      <c r="B167" s="117"/>
      <c r="C167" s="117"/>
      <c r="D167" s="45">
        <f t="shared" si="98"/>
        <v>-1459</v>
      </c>
      <c r="E167" s="106"/>
      <c r="F167" s="107"/>
      <c r="G167" s="26">
        <f t="shared" si="99"/>
        <v>-1459</v>
      </c>
      <c r="H167" s="117"/>
      <c r="I167" s="117"/>
      <c r="J167" s="19">
        <f t="shared" si="100"/>
        <v>-1459</v>
      </c>
      <c r="K167" s="106"/>
      <c r="L167" s="107"/>
      <c r="M167" s="26">
        <f t="shared" si="101"/>
        <v>-1459</v>
      </c>
      <c r="N167" s="118"/>
      <c r="O167" s="117"/>
      <c r="P167" s="38">
        <f t="shared" si="102"/>
        <v>-1459</v>
      </c>
      <c r="Q167" s="106"/>
      <c r="R167" s="107"/>
      <c r="S167" s="26">
        <f t="shared" si="103"/>
        <v>-1459</v>
      </c>
      <c r="T167" s="136"/>
      <c r="U167" s="136"/>
      <c r="V167" s="45">
        <f t="shared" si="104"/>
        <v>-1459</v>
      </c>
      <c r="W167" s="143"/>
    </row>
    <row r="168" spans="1:23" ht="15.75" customHeight="1">
      <c r="A168" s="114"/>
      <c r="B168" s="117"/>
      <c r="C168" s="117"/>
      <c r="D168" s="45">
        <f t="shared" si="98"/>
        <v>-1459</v>
      </c>
      <c r="E168" s="106"/>
      <c r="F168" s="107"/>
      <c r="G168" s="26">
        <f t="shared" si="99"/>
        <v>-1459</v>
      </c>
      <c r="H168" s="133"/>
      <c r="I168" s="117"/>
      <c r="J168" s="19">
        <f t="shared" si="100"/>
        <v>-1459</v>
      </c>
      <c r="K168" s="106"/>
      <c r="L168" s="107"/>
      <c r="M168" s="26">
        <f t="shared" si="101"/>
        <v>-1459</v>
      </c>
      <c r="N168" s="118"/>
      <c r="O168" s="117"/>
      <c r="P168" s="38">
        <f t="shared" si="102"/>
        <v>-1459</v>
      </c>
      <c r="Q168" s="106"/>
      <c r="R168" s="107"/>
      <c r="S168" s="26">
        <f t="shared" si="103"/>
        <v>-1459</v>
      </c>
      <c r="T168" s="136"/>
      <c r="U168" s="136"/>
      <c r="V168" s="45">
        <f t="shared" si="104"/>
        <v>-1459</v>
      </c>
      <c r="W168" s="143"/>
    </row>
    <row r="169" spans="1:23" ht="15.75" customHeight="1">
      <c r="A169" s="114"/>
      <c r="B169" s="117"/>
      <c r="C169" s="117"/>
      <c r="D169" s="45">
        <f t="shared" si="98"/>
        <v>-1459</v>
      </c>
      <c r="E169" s="106"/>
      <c r="F169" s="107"/>
      <c r="G169" s="26">
        <f t="shared" si="99"/>
        <v>-1459</v>
      </c>
      <c r="H169" s="133"/>
      <c r="I169" s="117"/>
      <c r="J169" s="19">
        <f t="shared" si="100"/>
        <v>-1459</v>
      </c>
      <c r="K169" s="106"/>
      <c r="L169" s="107"/>
      <c r="M169" s="26">
        <f t="shared" si="101"/>
        <v>-1459</v>
      </c>
      <c r="N169" s="118"/>
      <c r="O169" s="117"/>
      <c r="P169" s="38">
        <f t="shared" si="102"/>
        <v>-1459</v>
      </c>
      <c r="Q169" s="106"/>
      <c r="R169" s="107"/>
      <c r="S169" s="26">
        <f t="shared" si="103"/>
        <v>-1459</v>
      </c>
      <c r="T169" s="136"/>
      <c r="U169" s="136"/>
      <c r="V169" s="45">
        <f t="shared" si="104"/>
        <v>-1459</v>
      </c>
      <c r="W169" s="143"/>
    </row>
    <row r="170" spans="1:23" ht="15.75" customHeight="1">
      <c r="A170" s="114"/>
      <c r="B170" s="117"/>
      <c r="C170" s="117"/>
      <c r="D170" s="45">
        <f t="shared" si="98"/>
        <v>-1459</v>
      </c>
      <c r="E170" s="106"/>
      <c r="F170" s="107"/>
      <c r="G170" s="26">
        <f t="shared" si="99"/>
        <v>-1459</v>
      </c>
      <c r="H170" s="133"/>
      <c r="I170" s="117"/>
      <c r="J170" s="19">
        <f t="shared" si="100"/>
        <v>-1459</v>
      </c>
      <c r="K170" s="116"/>
      <c r="L170" s="107"/>
      <c r="M170" s="26">
        <f t="shared" si="101"/>
        <v>-1459</v>
      </c>
      <c r="N170" s="133"/>
      <c r="O170" s="117"/>
      <c r="P170" s="38">
        <f t="shared" si="102"/>
        <v>-1459</v>
      </c>
      <c r="Q170" s="106"/>
      <c r="R170" s="107"/>
      <c r="S170" s="26">
        <f t="shared" si="103"/>
        <v>-1459</v>
      </c>
      <c r="T170" s="136"/>
      <c r="U170" s="136"/>
      <c r="V170" s="45">
        <f t="shared" si="104"/>
        <v>-1459</v>
      </c>
      <c r="W170" s="143"/>
    </row>
    <row r="171" spans="1:23" ht="15.75" customHeight="1">
      <c r="A171" s="114"/>
      <c r="B171" s="117"/>
      <c r="C171" s="117"/>
      <c r="D171" s="45">
        <f t="shared" si="98"/>
        <v>-1459</v>
      </c>
      <c r="E171" s="106"/>
      <c r="F171" s="107"/>
      <c r="G171" s="26">
        <f t="shared" si="99"/>
        <v>-1459</v>
      </c>
      <c r="H171" s="133"/>
      <c r="I171" s="117"/>
      <c r="J171" s="19">
        <f t="shared" si="100"/>
        <v>-1459</v>
      </c>
      <c r="K171" s="116"/>
      <c r="L171" s="107"/>
      <c r="M171" s="26">
        <f t="shared" si="101"/>
        <v>-1459</v>
      </c>
      <c r="N171" s="133"/>
      <c r="O171" s="117"/>
      <c r="P171" s="38">
        <f t="shared" si="102"/>
        <v>-1459</v>
      </c>
      <c r="Q171" s="106"/>
      <c r="R171" s="107"/>
      <c r="S171" s="26">
        <f t="shared" si="103"/>
        <v>-1459</v>
      </c>
      <c r="T171" s="136"/>
      <c r="U171" s="136"/>
      <c r="V171" s="45">
        <f t="shared" si="104"/>
        <v>-1459</v>
      </c>
      <c r="W171" s="143"/>
    </row>
    <row r="172" spans="1:23" ht="15.75" customHeight="1">
      <c r="A172" s="114"/>
      <c r="B172" s="117"/>
      <c r="C172" s="117"/>
      <c r="D172" s="45">
        <f t="shared" si="98"/>
        <v>-1459</v>
      </c>
      <c r="E172" s="106"/>
      <c r="F172" s="107"/>
      <c r="G172" s="26">
        <f t="shared" si="99"/>
        <v>-1459</v>
      </c>
      <c r="H172" s="133"/>
      <c r="I172" s="117"/>
      <c r="J172" s="19">
        <f t="shared" si="100"/>
        <v>-1459</v>
      </c>
      <c r="K172" s="116"/>
      <c r="L172" s="107"/>
      <c r="M172" s="26">
        <f t="shared" si="101"/>
        <v>-1459</v>
      </c>
      <c r="N172" s="117"/>
      <c r="O172" s="117"/>
      <c r="P172" s="38">
        <f t="shared" si="102"/>
        <v>-1459</v>
      </c>
      <c r="Q172" s="106"/>
      <c r="R172" s="107"/>
      <c r="S172" s="26">
        <f t="shared" si="103"/>
        <v>-1459</v>
      </c>
      <c r="T172" s="136"/>
      <c r="U172" s="136"/>
      <c r="V172" s="45">
        <f t="shared" si="104"/>
        <v>-1459</v>
      </c>
      <c r="W172" s="143"/>
    </row>
    <row r="173" spans="1:23" ht="15.75" customHeight="1">
      <c r="A173" s="114"/>
      <c r="B173" s="117"/>
      <c r="C173" s="117"/>
      <c r="D173" s="45">
        <f t="shared" si="98"/>
        <v>-1459</v>
      </c>
      <c r="E173" s="122"/>
      <c r="F173" s="123"/>
      <c r="G173" s="26">
        <f t="shared" si="99"/>
        <v>-1459</v>
      </c>
      <c r="H173" s="133"/>
      <c r="I173" s="117"/>
      <c r="J173" s="19">
        <f t="shared" si="100"/>
        <v>-1459</v>
      </c>
      <c r="K173" s="124"/>
      <c r="L173" s="123"/>
      <c r="M173" s="26">
        <f t="shared" si="101"/>
        <v>-1459</v>
      </c>
      <c r="N173" s="117"/>
      <c r="O173" s="117"/>
      <c r="P173" s="38">
        <f t="shared" si="102"/>
        <v>-1459</v>
      </c>
      <c r="Q173" s="106"/>
      <c r="R173" s="107"/>
      <c r="S173" s="26">
        <f t="shared" si="103"/>
        <v>-1459</v>
      </c>
      <c r="T173" s="136"/>
      <c r="U173" s="136"/>
      <c r="V173" s="45">
        <f t="shared" si="104"/>
        <v>-1459</v>
      </c>
      <c r="W173" s="143"/>
    </row>
    <row r="174" spans="1:23" ht="15.75" customHeight="1">
      <c r="A174" s="114"/>
      <c r="B174" s="128"/>
      <c r="C174" s="128"/>
      <c r="D174" s="46">
        <f t="shared" si="98"/>
        <v>-1459</v>
      </c>
      <c r="E174" s="166"/>
      <c r="F174" s="167"/>
      <c r="G174" s="53">
        <f t="shared" si="99"/>
        <v>-1459</v>
      </c>
      <c r="H174" s="174"/>
      <c r="I174" s="175"/>
      <c r="J174" s="55">
        <f t="shared" si="100"/>
        <v>-1459</v>
      </c>
      <c r="K174" s="124"/>
      <c r="L174" s="123"/>
      <c r="M174" s="39">
        <f t="shared" si="101"/>
        <v>-1459</v>
      </c>
      <c r="N174" s="128"/>
      <c r="O174" s="128"/>
      <c r="P174" s="40">
        <f t="shared" si="102"/>
        <v>-1459</v>
      </c>
      <c r="Q174" s="122"/>
      <c r="R174" s="123"/>
      <c r="S174" s="39">
        <f t="shared" si="103"/>
        <v>-1459</v>
      </c>
      <c r="T174" s="141"/>
      <c r="U174" s="141"/>
      <c r="V174" s="46">
        <f t="shared" si="104"/>
        <v>-1459</v>
      </c>
      <c r="W174" s="143"/>
    </row>
    <row r="175" spans="1:23" ht="15.75" customHeight="1">
      <c r="A175" s="87"/>
      <c r="B175" s="77">
        <f ca="1">IFERROR(__xludf.DUMMYFUNCTION("DATE(VALUE(LEFT($B$2,4)),VALUE(MID($B$2,6,2)),VALUE(RIGHT($B$2,2)))
+ (VALUE(REGEXEXTRACT(INDIRECT(""A""&amp;ROW()+1),""\d+""))-1)*7
+ INT((COLUMN()-COLUMN($B175))/3)
"),47587)</f>
        <v>47587</v>
      </c>
      <c r="C175" s="81"/>
      <c r="D175" s="82"/>
      <c r="E175" s="77">
        <f ca="1">IFERROR(__xludf.DUMMYFUNCTION("DATE(VALUE(LEFT($B$2,4)),VALUE(MID($B$2,6,2)),VALUE(RIGHT($B$2,2)))
+ (VALUE(REGEXEXTRACT(INDIRECT(""A""&amp;ROW()+1),""\d+""))-1)*7
+ INT((COLUMN()-COLUMN($B175))/3)
"),47588)</f>
        <v>47588</v>
      </c>
      <c r="F175" s="81"/>
      <c r="G175" s="82"/>
      <c r="H175" s="77">
        <f ca="1">IFERROR(__xludf.DUMMYFUNCTION("DATE(VALUE(LEFT($B$2,4)),VALUE(MID($B$2,6,2)),VALUE(RIGHT($B$2,2)))
+ (VALUE(REGEXEXTRACT(INDIRECT(""A""&amp;ROW()+1),""\d+""))-1)*7
+ INT((COLUMN()-COLUMN($B175))/3)
"),47589)</f>
        <v>47589</v>
      </c>
      <c r="I175" s="81"/>
      <c r="J175" s="82"/>
      <c r="K175" s="77">
        <f ca="1">IFERROR(__xludf.DUMMYFUNCTION("DATE(VALUE(LEFT($B$2,4)),VALUE(MID($B$2,6,2)),VALUE(RIGHT($B$2,2)))
+ (VALUE(REGEXEXTRACT(INDIRECT(""A""&amp;ROW()+1),""\d+""))-1)*7
+ INT((COLUMN()-COLUMN($B175))/3)
"),47590)</f>
        <v>47590</v>
      </c>
      <c r="L175" s="81"/>
      <c r="M175" s="82"/>
      <c r="N175" s="77">
        <f ca="1">IFERROR(__xludf.DUMMYFUNCTION("DATE(VALUE(LEFT($B$2,4)),VALUE(MID($B$2,6,2)),VALUE(RIGHT($B$2,2)))
+ (VALUE(REGEXEXTRACT(INDIRECT(""A""&amp;ROW()+1),""\d+""))-1)*7
+ INT((COLUMN()-COLUMN($B175))/3)
"),47591)</f>
        <v>47591</v>
      </c>
      <c r="O175" s="81"/>
      <c r="P175" s="82"/>
      <c r="Q175" s="77">
        <f ca="1">IFERROR(__xludf.DUMMYFUNCTION("DATE(VALUE(LEFT($B$2,4)),VALUE(MID($B$2,6,2)),VALUE(RIGHT($B$2,2)))
+ (VALUE(REGEXEXTRACT(INDIRECT(""A""&amp;ROW()+1),""\d+""))-1)*7
+ INT((COLUMN()-COLUMN($B175))/3)
"),47592)</f>
        <v>47592</v>
      </c>
      <c r="R175" s="81"/>
      <c r="S175" s="82"/>
      <c r="T175" s="77">
        <f ca="1">IFERROR(__xludf.DUMMYFUNCTION("DATE(VALUE(LEFT($B$2,4)),VALUE(MID($B$2,6,2)),VALUE(RIGHT($B$2,2)))
+ (VALUE(REGEXEXTRACT(INDIRECT(""A""&amp;ROW()+1),""\d+""))-1)*7
+ INT((COLUMN()-COLUMN($B175))/3)
"),47593)</f>
        <v>47593</v>
      </c>
      <c r="U175" s="81"/>
      <c r="V175" s="82"/>
      <c r="W175" s="143"/>
    </row>
    <row r="176" spans="1:23" ht="15.75" customHeight="1">
      <c r="A176" s="51" t="s">
        <v>151</v>
      </c>
      <c r="B176" s="112"/>
      <c r="C176" s="111"/>
      <c r="D176" s="17">
        <f>V174+C176</f>
        <v>-1459</v>
      </c>
      <c r="E176" s="109"/>
      <c r="F176" s="109"/>
      <c r="G176" s="42">
        <f>D186+F176</f>
        <v>-1459</v>
      </c>
      <c r="H176" s="112"/>
      <c r="I176" s="111"/>
      <c r="J176" s="17">
        <f>G186+I176</f>
        <v>-1459</v>
      </c>
      <c r="K176" s="109"/>
      <c r="L176" s="109"/>
      <c r="M176" s="35">
        <f>J186+L176</f>
        <v>-1459</v>
      </c>
      <c r="N176" s="112"/>
      <c r="O176" s="111"/>
      <c r="P176" s="17">
        <f>M186+O176</f>
        <v>-1459</v>
      </c>
      <c r="Q176" s="109"/>
      <c r="R176" s="109"/>
      <c r="S176" s="35">
        <f>P186+R176</f>
        <v>-1459</v>
      </c>
      <c r="T176" s="112"/>
      <c r="U176" s="111"/>
      <c r="V176" s="48">
        <f>S186+U176</f>
        <v>-1459</v>
      </c>
      <c r="W176" s="143"/>
    </row>
    <row r="177" spans="1:23" ht="15.75" customHeight="1">
      <c r="A177" s="114"/>
      <c r="B177" s="106"/>
      <c r="C177" s="107"/>
      <c r="D177" s="26">
        <f t="shared" ref="D177:D186" si="105">D176+C177</f>
        <v>-1459</v>
      </c>
      <c r="E177" s="117"/>
      <c r="F177" s="117"/>
      <c r="G177" s="19">
        <f t="shared" ref="G177:G186" si="106">G176+F177</f>
        <v>-1459</v>
      </c>
      <c r="H177" s="106"/>
      <c r="I177" s="107"/>
      <c r="J177" s="26">
        <f t="shared" ref="J177:J186" si="107">J176+I177</f>
        <v>-1459</v>
      </c>
      <c r="K177" s="117"/>
      <c r="L177" s="117"/>
      <c r="M177" s="38">
        <f t="shared" ref="M177:M186" si="108">M176+L177</f>
        <v>-1459</v>
      </c>
      <c r="N177" s="106"/>
      <c r="O177" s="107"/>
      <c r="P177" s="26">
        <f t="shared" ref="P177:P186" si="109">P176+O177</f>
        <v>-1459</v>
      </c>
      <c r="Q177" s="117"/>
      <c r="R177" s="117"/>
      <c r="S177" s="38">
        <f t="shared" ref="S177:S186" si="110">S176+R177</f>
        <v>-1459</v>
      </c>
      <c r="T177" s="106"/>
      <c r="U177" s="107"/>
      <c r="V177" s="20">
        <f t="shared" ref="V177:V186" si="111">V176+U177</f>
        <v>-1459</v>
      </c>
      <c r="W177" s="143"/>
    </row>
    <row r="178" spans="1:23" ht="15.75" customHeight="1">
      <c r="A178" s="114"/>
      <c r="B178" s="106"/>
      <c r="C178" s="107"/>
      <c r="D178" s="26">
        <f t="shared" si="105"/>
        <v>-1459</v>
      </c>
      <c r="E178" s="117"/>
      <c r="F178" s="117"/>
      <c r="G178" s="19">
        <f t="shared" si="106"/>
        <v>-1459</v>
      </c>
      <c r="H178" s="106"/>
      <c r="I178" s="107"/>
      <c r="J178" s="26">
        <f t="shared" si="107"/>
        <v>-1459</v>
      </c>
      <c r="K178" s="117"/>
      <c r="L178" s="117"/>
      <c r="M178" s="38">
        <f t="shared" si="108"/>
        <v>-1459</v>
      </c>
      <c r="N178" s="106"/>
      <c r="O178" s="107"/>
      <c r="P178" s="26">
        <f t="shared" si="109"/>
        <v>-1459</v>
      </c>
      <c r="Q178" s="117"/>
      <c r="R178" s="117"/>
      <c r="S178" s="38">
        <f t="shared" si="110"/>
        <v>-1459</v>
      </c>
      <c r="T178" s="106"/>
      <c r="U178" s="107"/>
      <c r="V178" s="20">
        <f t="shared" si="111"/>
        <v>-1459</v>
      </c>
      <c r="W178" s="143"/>
    </row>
    <row r="179" spans="1:23" ht="15.75" customHeight="1">
      <c r="A179" s="114"/>
      <c r="B179" s="106"/>
      <c r="C179" s="107"/>
      <c r="D179" s="26">
        <f t="shared" si="105"/>
        <v>-1459</v>
      </c>
      <c r="E179" s="117"/>
      <c r="F179" s="117"/>
      <c r="G179" s="19">
        <f t="shared" si="106"/>
        <v>-1459</v>
      </c>
      <c r="H179" s="106"/>
      <c r="I179" s="107"/>
      <c r="J179" s="26">
        <f t="shared" si="107"/>
        <v>-1459</v>
      </c>
      <c r="K179" s="117"/>
      <c r="L179" s="117"/>
      <c r="M179" s="38">
        <f t="shared" si="108"/>
        <v>-1459</v>
      </c>
      <c r="N179" s="106"/>
      <c r="O179" s="107"/>
      <c r="P179" s="26">
        <f t="shared" si="109"/>
        <v>-1459</v>
      </c>
      <c r="Q179" s="117"/>
      <c r="R179" s="117"/>
      <c r="S179" s="38">
        <f t="shared" si="110"/>
        <v>-1459</v>
      </c>
      <c r="T179" s="106"/>
      <c r="U179" s="107"/>
      <c r="V179" s="20">
        <f t="shared" si="111"/>
        <v>-1459</v>
      </c>
      <c r="W179" s="143"/>
    </row>
    <row r="180" spans="1:23" ht="15.75" customHeight="1">
      <c r="A180" s="114"/>
      <c r="B180" s="106"/>
      <c r="C180" s="107"/>
      <c r="D180" s="26">
        <f t="shared" si="105"/>
        <v>-1459</v>
      </c>
      <c r="E180" s="117"/>
      <c r="F180" s="117"/>
      <c r="G180" s="19">
        <f t="shared" si="106"/>
        <v>-1459</v>
      </c>
      <c r="H180" s="106"/>
      <c r="I180" s="107"/>
      <c r="J180" s="26">
        <f t="shared" si="107"/>
        <v>-1459</v>
      </c>
      <c r="K180" s="117"/>
      <c r="L180" s="117"/>
      <c r="M180" s="38">
        <f t="shared" si="108"/>
        <v>-1459</v>
      </c>
      <c r="N180" s="106"/>
      <c r="O180" s="107"/>
      <c r="P180" s="26">
        <f t="shared" si="109"/>
        <v>-1459</v>
      </c>
      <c r="Q180" s="117"/>
      <c r="R180" s="117"/>
      <c r="S180" s="38">
        <f t="shared" si="110"/>
        <v>-1459</v>
      </c>
      <c r="T180" s="106"/>
      <c r="U180" s="107"/>
      <c r="V180" s="20">
        <f t="shared" si="111"/>
        <v>-1459</v>
      </c>
      <c r="W180" s="143"/>
    </row>
    <row r="181" spans="1:23" ht="15.75" customHeight="1">
      <c r="A181" s="114"/>
      <c r="B181" s="106"/>
      <c r="C181" s="107"/>
      <c r="D181" s="26">
        <f t="shared" si="105"/>
        <v>-1459</v>
      </c>
      <c r="E181" s="117"/>
      <c r="F181" s="117"/>
      <c r="G181" s="19">
        <f t="shared" si="106"/>
        <v>-1459</v>
      </c>
      <c r="H181" s="106"/>
      <c r="I181" s="107"/>
      <c r="J181" s="26">
        <f t="shared" si="107"/>
        <v>-1459</v>
      </c>
      <c r="K181" s="117"/>
      <c r="L181" s="117"/>
      <c r="M181" s="38">
        <f t="shared" si="108"/>
        <v>-1459</v>
      </c>
      <c r="N181" s="106"/>
      <c r="O181" s="107"/>
      <c r="P181" s="26">
        <f t="shared" si="109"/>
        <v>-1459</v>
      </c>
      <c r="Q181" s="117"/>
      <c r="R181" s="117"/>
      <c r="S181" s="38">
        <f t="shared" si="110"/>
        <v>-1459</v>
      </c>
      <c r="T181" s="106"/>
      <c r="U181" s="107"/>
      <c r="V181" s="20">
        <f t="shared" si="111"/>
        <v>-1459</v>
      </c>
      <c r="W181" s="143"/>
    </row>
    <row r="182" spans="1:23" ht="15.75" customHeight="1">
      <c r="A182" s="114"/>
      <c r="B182" s="106"/>
      <c r="C182" s="107"/>
      <c r="D182" s="26">
        <f t="shared" si="105"/>
        <v>-1459</v>
      </c>
      <c r="E182" s="117"/>
      <c r="F182" s="117"/>
      <c r="G182" s="19">
        <f t="shared" si="106"/>
        <v>-1459</v>
      </c>
      <c r="H182" s="106"/>
      <c r="I182" s="107"/>
      <c r="J182" s="26">
        <f t="shared" si="107"/>
        <v>-1459</v>
      </c>
      <c r="K182" s="117"/>
      <c r="L182" s="117"/>
      <c r="M182" s="38">
        <f t="shared" si="108"/>
        <v>-1459</v>
      </c>
      <c r="N182" s="106"/>
      <c r="O182" s="107"/>
      <c r="P182" s="26">
        <f t="shared" si="109"/>
        <v>-1459</v>
      </c>
      <c r="Q182" s="117"/>
      <c r="R182" s="117"/>
      <c r="S182" s="38">
        <f t="shared" si="110"/>
        <v>-1459</v>
      </c>
      <c r="T182" s="106"/>
      <c r="U182" s="107"/>
      <c r="V182" s="20">
        <f t="shared" si="111"/>
        <v>-1459</v>
      </c>
      <c r="W182" s="143"/>
    </row>
    <row r="183" spans="1:23" ht="15.75" customHeight="1">
      <c r="A183" s="114"/>
      <c r="B183" s="106"/>
      <c r="C183" s="107"/>
      <c r="D183" s="26">
        <f t="shared" si="105"/>
        <v>-1459</v>
      </c>
      <c r="E183" s="117"/>
      <c r="F183" s="117"/>
      <c r="G183" s="19">
        <f t="shared" si="106"/>
        <v>-1459</v>
      </c>
      <c r="H183" s="106"/>
      <c r="I183" s="107"/>
      <c r="J183" s="26">
        <f t="shared" si="107"/>
        <v>-1459</v>
      </c>
      <c r="K183" s="117"/>
      <c r="L183" s="117"/>
      <c r="M183" s="38">
        <f t="shared" si="108"/>
        <v>-1459</v>
      </c>
      <c r="N183" s="106"/>
      <c r="O183" s="107"/>
      <c r="P183" s="26">
        <f t="shared" si="109"/>
        <v>-1459</v>
      </c>
      <c r="Q183" s="117"/>
      <c r="R183" s="117"/>
      <c r="S183" s="38">
        <f t="shared" si="110"/>
        <v>-1459</v>
      </c>
      <c r="T183" s="106"/>
      <c r="U183" s="107"/>
      <c r="V183" s="20">
        <f t="shared" si="111"/>
        <v>-1459</v>
      </c>
      <c r="W183" s="143"/>
    </row>
    <row r="184" spans="1:23" ht="15.75" customHeight="1">
      <c r="A184" s="114"/>
      <c r="B184" s="106"/>
      <c r="C184" s="107"/>
      <c r="D184" s="26">
        <f t="shared" si="105"/>
        <v>-1459</v>
      </c>
      <c r="E184" s="117"/>
      <c r="F184" s="117"/>
      <c r="G184" s="19">
        <f t="shared" si="106"/>
        <v>-1459</v>
      </c>
      <c r="H184" s="122"/>
      <c r="I184" s="123"/>
      <c r="J184" s="26">
        <f t="shared" si="107"/>
        <v>-1459</v>
      </c>
      <c r="K184" s="117"/>
      <c r="L184" s="117"/>
      <c r="M184" s="38">
        <f t="shared" si="108"/>
        <v>-1459</v>
      </c>
      <c r="N184" s="122"/>
      <c r="O184" s="123"/>
      <c r="P184" s="26">
        <f t="shared" si="109"/>
        <v>-1459</v>
      </c>
      <c r="Q184" s="117"/>
      <c r="R184" s="117"/>
      <c r="S184" s="38">
        <f t="shared" si="110"/>
        <v>-1459</v>
      </c>
      <c r="T184" s="106"/>
      <c r="U184" s="107"/>
      <c r="V184" s="20">
        <f t="shared" si="111"/>
        <v>-1459</v>
      </c>
      <c r="W184" s="143"/>
    </row>
    <row r="185" spans="1:23" ht="15.75" customHeight="1">
      <c r="A185" s="114"/>
      <c r="B185" s="106"/>
      <c r="C185" s="107"/>
      <c r="D185" s="26">
        <f t="shared" si="105"/>
        <v>-1459</v>
      </c>
      <c r="E185" s="117"/>
      <c r="F185" s="117"/>
      <c r="G185" s="19">
        <f t="shared" si="106"/>
        <v>-1459</v>
      </c>
      <c r="H185" s="122"/>
      <c r="I185" s="123"/>
      <c r="J185" s="26">
        <f t="shared" si="107"/>
        <v>-1459</v>
      </c>
      <c r="K185" s="117"/>
      <c r="L185" s="117"/>
      <c r="M185" s="38">
        <f t="shared" si="108"/>
        <v>-1459</v>
      </c>
      <c r="N185" s="122"/>
      <c r="O185" s="123"/>
      <c r="P185" s="26">
        <f t="shared" si="109"/>
        <v>-1459</v>
      </c>
      <c r="Q185" s="117"/>
      <c r="R185" s="117"/>
      <c r="S185" s="38">
        <f t="shared" si="110"/>
        <v>-1459</v>
      </c>
      <c r="T185" s="122"/>
      <c r="U185" s="124"/>
      <c r="V185" s="20">
        <f t="shared" si="111"/>
        <v>-1459</v>
      </c>
      <c r="W185" s="143"/>
    </row>
    <row r="186" spans="1:23" ht="15.75" customHeight="1">
      <c r="A186" s="114"/>
      <c r="B186" s="122"/>
      <c r="C186" s="123"/>
      <c r="D186" s="39">
        <f t="shared" si="105"/>
        <v>-1459</v>
      </c>
      <c r="E186" s="128"/>
      <c r="F186" s="128"/>
      <c r="G186" s="29">
        <f t="shared" si="106"/>
        <v>-1459</v>
      </c>
      <c r="H186" s="122"/>
      <c r="I186" s="123"/>
      <c r="J186" s="39">
        <f t="shared" si="107"/>
        <v>-1459</v>
      </c>
      <c r="K186" s="128"/>
      <c r="L186" s="128"/>
      <c r="M186" s="40">
        <f t="shared" si="108"/>
        <v>-1459</v>
      </c>
      <c r="N186" s="122"/>
      <c r="O186" s="123"/>
      <c r="P186" s="39">
        <f t="shared" si="109"/>
        <v>-1459</v>
      </c>
      <c r="Q186" s="128"/>
      <c r="R186" s="128"/>
      <c r="S186" s="40">
        <f t="shared" si="110"/>
        <v>-1459</v>
      </c>
      <c r="T186" s="122"/>
      <c r="U186" s="123"/>
      <c r="V186" s="49">
        <f t="shared" si="111"/>
        <v>-1459</v>
      </c>
      <c r="W186" s="143"/>
    </row>
    <row r="187" spans="1:23" ht="15.75" customHeight="1">
      <c r="A187" s="87"/>
      <c r="B187" s="77">
        <f ca="1">IFERROR(__xludf.DUMMYFUNCTION("DATE(VALUE(LEFT($B$2,4)),VALUE(MID($B$2,6,2)),VALUE(RIGHT($B$2,2)))
+ (VALUE(REGEXEXTRACT(INDIRECT(""A""&amp;ROW()+1),""\d+""))-1)*7
+ INT((COLUMN()-COLUMN($B187))/3)
"),47594)</f>
        <v>47594</v>
      </c>
      <c r="C187" s="81"/>
      <c r="D187" s="82"/>
      <c r="E187" s="77">
        <f ca="1">IFERROR(__xludf.DUMMYFUNCTION("DATE(VALUE(LEFT($B$2,4)),VALUE(MID($B$2,6,2)),VALUE(RIGHT($B$2,2)))
+ (VALUE(REGEXEXTRACT(INDIRECT(""A""&amp;ROW()+1),""\d+""))-1)*7
+ INT((COLUMN()-COLUMN($B187))/3)
"),47595)</f>
        <v>47595</v>
      </c>
      <c r="F187" s="81"/>
      <c r="G187" s="82"/>
      <c r="H187" s="77">
        <f ca="1">IFERROR(__xludf.DUMMYFUNCTION("DATE(VALUE(LEFT($B$2,4)),VALUE(MID($B$2,6,2)),VALUE(RIGHT($B$2,2)))
+ (VALUE(REGEXEXTRACT(INDIRECT(""A""&amp;ROW()+1),""\d+""))-1)*7
+ INT((COLUMN()-COLUMN($B187))/3)
"),47596)</f>
        <v>47596</v>
      </c>
      <c r="I187" s="81"/>
      <c r="J187" s="82"/>
      <c r="K187" s="77">
        <f ca="1">IFERROR(__xludf.DUMMYFUNCTION("DATE(VALUE(LEFT($B$2,4)),VALUE(MID($B$2,6,2)),VALUE(RIGHT($B$2,2)))
+ (VALUE(REGEXEXTRACT(INDIRECT(""A""&amp;ROW()+1),""\d+""))-1)*7
+ INT((COLUMN()-COLUMN($B187))/3)
"),47597)</f>
        <v>47597</v>
      </c>
      <c r="L187" s="81"/>
      <c r="M187" s="82"/>
      <c r="N187" s="77">
        <f ca="1">IFERROR(__xludf.DUMMYFUNCTION("DATE(VALUE(LEFT($B$2,4)),VALUE(MID($B$2,6,2)),VALUE(RIGHT($B$2,2)))
+ (VALUE(REGEXEXTRACT(INDIRECT(""A""&amp;ROW()+1),""\d+""))-1)*7
+ INT((COLUMN()-COLUMN($B187))/3)
"),47598)</f>
        <v>47598</v>
      </c>
      <c r="O187" s="81"/>
      <c r="P187" s="82"/>
      <c r="Q187" s="77">
        <f ca="1">IFERROR(__xludf.DUMMYFUNCTION("DATE(VALUE(LEFT($B$2,4)),VALUE(MID($B$2,6,2)),VALUE(RIGHT($B$2,2)))
+ (VALUE(REGEXEXTRACT(INDIRECT(""A""&amp;ROW()+1),""\d+""))-1)*7
+ INT((COLUMN()-COLUMN($B187))/3)
"),47599)</f>
        <v>47599</v>
      </c>
      <c r="R187" s="81"/>
      <c r="S187" s="82"/>
      <c r="T187" s="77">
        <f ca="1">IFERROR(__xludf.DUMMYFUNCTION("DATE(VALUE(LEFT($B$2,4)),VALUE(MID($B$2,6,2)),VALUE(RIGHT($B$2,2)))
+ (VALUE(REGEXEXTRACT(INDIRECT(""A""&amp;ROW()+1),""\d+""))-1)*7
+ INT((COLUMN()-COLUMN($B187))/3)
"),47600)</f>
        <v>47600</v>
      </c>
      <c r="U187" s="81"/>
      <c r="V187" s="82"/>
      <c r="W187" s="52" t="s">
        <v>20</v>
      </c>
    </row>
    <row r="188" spans="1:23" ht="15.75" customHeight="1">
      <c r="A188" s="47" t="s">
        <v>152</v>
      </c>
      <c r="B188" s="113"/>
      <c r="C188" s="109"/>
      <c r="D188" s="42">
        <f>V186+C188</f>
        <v>-1459</v>
      </c>
      <c r="E188" s="112"/>
      <c r="F188" s="111"/>
      <c r="G188" s="36">
        <f>D198+F188</f>
        <v>-1459</v>
      </c>
      <c r="H188" s="132"/>
      <c r="I188" s="109"/>
      <c r="J188" s="42">
        <f>G198+I188</f>
        <v>-1459</v>
      </c>
      <c r="K188" s="112"/>
      <c r="L188" s="111"/>
      <c r="M188" s="18">
        <f>J198+L188</f>
        <v>-1459</v>
      </c>
      <c r="N188" s="113"/>
      <c r="O188" s="109"/>
      <c r="P188" s="35">
        <f>M198+O188</f>
        <v>-1459</v>
      </c>
      <c r="Q188" s="112"/>
      <c r="R188" s="111"/>
      <c r="S188" s="18">
        <f>P198+R188</f>
        <v>-1459</v>
      </c>
      <c r="T188" s="113"/>
      <c r="U188" s="109"/>
      <c r="V188" s="50">
        <f>S198+U188</f>
        <v>-1459</v>
      </c>
      <c r="W188" s="172"/>
    </row>
    <row r="189" spans="1:23" ht="15.75" customHeight="1">
      <c r="A189" s="114"/>
      <c r="B189" s="118"/>
      <c r="C189" s="117"/>
      <c r="D189" s="19">
        <f t="shared" ref="D189:D198" si="112">D188+C189</f>
        <v>-1459</v>
      </c>
      <c r="E189" s="106"/>
      <c r="F189" s="107"/>
      <c r="G189" s="26">
        <f t="shared" ref="G189:G198" si="113">G188+F189</f>
        <v>-1459</v>
      </c>
      <c r="H189" s="133"/>
      <c r="I189" s="117"/>
      <c r="J189" s="19">
        <f t="shared" ref="J189:J198" si="114">J188+I189</f>
        <v>-1459</v>
      </c>
      <c r="K189" s="106"/>
      <c r="L189" s="107"/>
      <c r="M189" s="26">
        <f t="shared" ref="M189:M198" si="115">M188+L189</f>
        <v>-1459</v>
      </c>
      <c r="N189" s="117"/>
      <c r="O189" s="117"/>
      <c r="P189" s="38">
        <f t="shared" ref="P189:P198" si="116">P188+O189</f>
        <v>-1459</v>
      </c>
      <c r="Q189" s="106"/>
      <c r="R189" s="107"/>
      <c r="S189" s="26">
        <f t="shared" ref="S189:S198" si="117">S188+R189</f>
        <v>-1459</v>
      </c>
      <c r="T189" s="136"/>
      <c r="U189" s="136"/>
      <c r="V189" s="45">
        <f t="shared" ref="V189:V198" si="118">V188+U189</f>
        <v>-1459</v>
      </c>
      <c r="W189" s="143"/>
    </row>
    <row r="190" spans="1:23" ht="15.75" customHeight="1">
      <c r="A190" s="114"/>
      <c r="B190" s="118"/>
      <c r="C190" s="117"/>
      <c r="D190" s="19">
        <f t="shared" si="112"/>
        <v>-1459</v>
      </c>
      <c r="E190" s="106"/>
      <c r="F190" s="107"/>
      <c r="G190" s="26">
        <f t="shared" si="113"/>
        <v>-1459</v>
      </c>
      <c r="H190" s="133"/>
      <c r="I190" s="117"/>
      <c r="J190" s="19">
        <f t="shared" si="114"/>
        <v>-1459</v>
      </c>
      <c r="K190" s="106"/>
      <c r="L190" s="107"/>
      <c r="M190" s="26">
        <f t="shared" si="115"/>
        <v>-1459</v>
      </c>
      <c r="N190" s="117"/>
      <c r="O190" s="117"/>
      <c r="P190" s="38">
        <f t="shared" si="116"/>
        <v>-1459</v>
      </c>
      <c r="Q190" s="106"/>
      <c r="R190" s="107"/>
      <c r="S190" s="26">
        <f t="shared" si="117"/>
        <v>-1459</v>
      </c>
      <c r="T190" s="136"/>
      <c r="U190" s="136"/>
      <c r="V190" s="45">
        <f t="shared" si="118"/>
        <v>-1459</v>
      </c>
      <c r="W190" s="143"/>
    </row>
    <row r="191" spans="1:23" ht="15.75" customHeight="1">
      <c r="A191" s="114"/>
      <c r="B191" s="118"/>
      <c r="C191" s="117"/>
      <c r="D191" s="19">
        <f t="shared" si="112"/>
        <v>-1459</v>
      </c>
      <c r="E191" s="106"/>
      <c r="F191" s="107"/>
      <c r="G191" s="26">
        <f t="shared" si="113"/>
        <v>-1459</v>
      </c>
      <c r="H191" s="133"/>
      <c r="I191" s="117"/>
      <c r="J191" s="19">
        <f t="shared" si="114"/>
        <v>-1459</v>
      </c>
      <c r="K191" s="106"/>
      <c r="L191" s="107"/>
      <c r="M191" s="26">
        <f t="shared" si="115"/>
        <v>-1459</v>
      </c>
      <c r="N191" s="117"/>
      <c r="O191" s="117"/>
      <c r="P191" s="38">
        <f t="shared" si="116"/>
        <v>-1459</v>
      </c>
      <c r="Q191" s="106"/>
      <c r="R191" s="107"/>
      <c r="S191" s="26">
        <f t="shared" si="117"/>
        <v>-1459</v>
      </c>
      <c r="T191" s="136"/>
      <c r="U191" s="136"/>
      <c r="V191" s="45">
        <f t="shared" si="118"/>
        <v>-1459</v>
      </c>
      <c r="W191" s="143"/>
    </row>
    <row r="192" spans="1:23" ht="15.75" customHeight="1">
      <c r="A192" s="114"/>
      <c r="B192" s="118"/>
      <c r="C192" s="117"/>
      <c r="D192" s="19">
        <f t="shared" si="112"/>
        <v>-1459</v>
      </c>
      <c r="E192" s="106"/>
      <c r="F192" s="107"/>
      <c r="G192" s="26">
        <f t="shared" si="113"/>
        <v>-1459</v>
      </c>
      <c r="H192" s="133"/>
      <c r="I192" s="117"/>
      <c r="J192" s="19">
        <f t="shared" si="114"/>
        <v>-1459</v>
      </c>
      <c r="K192" s="106"/>
      <c r="L192" s="107"/>
      <c r="M192" s="26">
        <f t="shared" si="115"/>
        <v>-1459</v>
      </c>
      <c r="N192" s="117"/>
      <c r="O192" s="117"/>
      <c r="P192" s="38">
        <f t="shared" si="116"/>
        <v>-1459</v>
      </c>
      <c r="Q192" s="106"/>
      <c r="R192" s="107"/>
      <c r="S192" s="26">
        <f t="shared" si="117"/>
        <v>-1459</v>
      </c>
      <c r="T192" s="136"/>
      <c r="U192" s="136"/>
      <c r="V192" s="45">
        <f t="shared" si="118"/>
        <v>-1459</v>
      </c>
      <c r="W192" s="143"/>
    </row>
    <row r="193" spans="1:23" ht="15.75" customHeight="1">
      <c r="A193" s="114"/>
      <c r="B193" s="118"/>
      <c r="C193" s="117"/>
      <c r="D193" s="19">
        <f t="shared" si="112"/>
        <v>-1459</v>
      </c>
      <c r="E193" s="106"/>
      <c r="F193" s="107"/>
      <c r="G193" s="26">
        <f t="shared" si="113"/>
        <v>-1459</v>
      </c>
      <c r="H193" s="133"/>
      <c r="I193" s="117"/>
      <c r="J193" s="19">
        <f t="shared" si="114"/>
        <v>-1459</v>
      </c>
      <c r="K193" s="106"/>
      <c r="L193" s="107"/>
      <c r="M193" s="26">
        <f t="shared" si="115"/>
        <v>-1459</v>
      </c>
      <c r="N193" s="118"/>
      <c r="O193" s="117"/>
      <c r="P193" s="38">
        <f t="shared" si="116"/>
        <v>-1459</v>
      </c>
      <c r="Q193" s="106"/>
      <c r="R193" s="107"/>
      <c r="S193" s="26">
        <f t="shared" si="117"/>
        <v>-1459</v>
      </c>
      <c r="T193" s="136"/>
      <c r="U193" s="136"/>
      <c r="V193" s="45">
        <f t="shared" si="118"/>
        <v>-1459</v>
      </c>
      <c r="W193" s="143"/>
    </row>
    <row r="194" spans="1:23" ht="15.75" customHeight="1">
      <c r="A194" s="114"/>
      <c r="B194" s="117"/>
      <c r="C194" s="117"/>
      <c r="D194" s="19">
        <f t="shared" si="112"/>
        <v>-1459</v>
      </c>
      <c r="E194" s="106"/>
      <c r="F194" s="107"/>
      <c r="G194" s="26">
        <f t="shared" si="113"/>
        <v>-1459</v>
      </c>
      <c r="H194" s="133"/>
      <c r="I194" s="117"/>
      <c r="J194" s="19">
        <f t="shared" si="114"/>
        <v>-1459</v>
      </c>
      <c r="K194" s="106"/>
      <c r="L194" s="107"/>
      <c r="M194" s="26">
        <f t="shared" si="115"/>
        <v>-1459</v>
      </c>
      <c r="N194" s="117"/>
      <c r="O194" s="117"/>
      <c r="P194" s="38">
        <f t="shared" si="116"/>
        <v>-1459</v>
      </c>
      <c r="Q194" s="106"/>
      <c r="R194" s="107"/>
      <c r="S194" s="26">
        <f t="shared" si="117"/>
        <v>-1459</v>
      </c>
      <c r="T194" s="136"/>
      <c r="U194" s="136"/>
      <c r="V194" s="45">
        <f t="shared" si="118"/>
        <v>-1459</v>
      </c>
      <c r="W194" s="143"/>
    </row>
    <row r="195" spans="1:23" ht="15.75" customHeight="1">
      <c r="A195" s="114"/>
      <c r="B195" s="117"/>
      <c r="C195" s="117"/>
      <c r="D195" s="19">
        <f t="shared" si="112"/>
        <v>-1459</v>
      </c>
      <c r="E195" s="106"/>
      <c r="F195" s="107"/>
      <c r="G195" s="26">
        <f t="shared" si="113"/>
        <v>-1459</v>
      </c>
      <c r="H195" s="133"/>
      <c r="I195" s="117"/>
      <c r="J195" s="19">
        <f t="shared" si="114"/>
        <v>-1459</v>
      </c>
      <c r="K195" s="106"/>
      <c r="L195" s="107"/>
      <c r="M195" s="26">
        <f t="shared" si="115"/>
        <v>-1459</v>
      </c>
      <c r="N195" s="117"/>
      <c r="O195" s="117"/>
      <c r="P195" s="38">
        <f t="shared" si="116"/>
        <v>-1459</v>
      </c>
      <c r="Q195" s="106"/>
      <c r="R195" s="107"/>
      <c r="S195" s="26">
        <f t="shared" si="117"/>
        <v>-1459</v>
      </c>
      <c r="T195" s="136"/>
      <c r="U195" s="136"/>
      <c r="V195" s="45">
        <f t="shared" si="118"/>
        <v>-1459</v>
      </c>
      <c r="W195" s="143"/>
    </row>
    <row r="196" spans="1:23" ht="15.75" customHeight="1">
      <c r="A196" s="114"/>
      <c r="B196" s="117"/>
      <c r="C196" s="117"/>
      <c r="D196" s="19">
        <f t="shared" si="112"/>
        <v>-1459</v>
      </c>
      <c r="E196" s="106"/>
      <c r="F196" s="107"/>
      <c r="G196" s="26">
        <f t="shared" si="113"/>
        <v>-1459</v>
      </c>
      <c r="H196" s="133"/>
      <c r="I196" s="117"/>
      <c r="J196" s="19">
        <f t="shared" si="114"/>
        <v>-1459</v>
      </c>
      <c r="K196" s="106"/>
      <c r="L196" s="107"/>
      <c r="M196" s="26">
        <f t="shared" si="115"/>
        <v>-1459</v>
      </c>
      <c r="N196" s="117"/>
      <c r="O196" s="117"/>
      <c r="P196" s="38">
        <f t="shared" si="116"/>
        <v>-1459</v>
      </c>
      <c r="Q196" s="106"/>
      <c r="R196" s="107"/>
      <c r="S196" s="26">
        <f t="shared" si="117"/>
        <v>-1459</v>
      </c>
      <c r="T196" s="136"/>
      <c r="U196" s="136"/>
      <c r="V196" s="45">
        <f t="shared" si="118"/>
        <v>-1459</v>
      </c>
      <c r="W196" s="143"/>
    </row>
    <row r="197" spans="1:23" ht="15.75" customHeight="1">
      <c r="A197" s="114"/>
      <c r="B197" s="117"/>
      <c r="C197" s="117"/>
      <c r="D197" s="19">
        <f t="shared" si="112"/>
        <v>-1459</v>
      </c>
      <c r="E197" s="122"/>
      <c r="F197" s="123"/>
      <c r="G197" s="26">
        <f t="shared" si="113"/>
        <v>-1459</v>
      </c>
      <c r="H197" s="133"/>
      <c r="I197" s="117"/>
      <c r="J197" s="19">
        <f t="shared" si="114"/>
        <v>-1459</v>
      </c>
      <c r="K197" s="122"/>
      <c r="L197" s="123"/>
      <c r="M197" s="26">
        <f t="shared" si="115"/>
        <v>-1459</v>
      </c>
      <c r="N197" s="117"/>
      <c r="O197" s="117"/>
      <c r="P197" s="38">
        <f t="shared" si="116"/>
        <v>-1459</v>
      </c>
      <c r="Q197" s="122"/>
      <c r="R197" s="123"/>
      <c r="S197" s="26">
        <f t="shared" si="117"/>
        <v>-1459</v>
      </c>
      <c r="T197" s="136"/>
      <c r="U197" s="136"/>
      <c r="V197" s="45">
        <f t="shared" si="118"/>
        <v>-1459</v>
      </c>
      <c r="W197" s="143"/>
    </row>
    <row r="198" spans="1:23" ht="15.75" customHeight="1">
      <c r="A198" s="114"/>
      <c r="B198" s="128"/>
      <c r="C198" s="128"/>
      <c r="D198" s="29">
        <f t="shared" si="112"/>
        <v>-1459</v>
      </c>
      <c r="E198" s="122"/>
      <c r="F198" s="123"/>
      <c r="G198" s="39">
        <f t="shared" si="113"/>
        <v>-1459</v>
      </c>
      <c r="H198" s="140"/>
      <c r="I198" s="128"/>
      <c r="J198" s="29">
        <f t="shared" si="114"/>
        <v>-1459</v>
      </c>
      <c r="K198" s="122"/>
      <c r="L198" s="123"/>
      <c r="M198" s="39">
        <f t="shared" si="115"/>
        <v>-1459</v>
      </c>
      <c r="N198" s="128"/>
      <c r="O198" s="128"/>
      <c r="P198" s="40">
        <f t="shared" si="116"/>
        <v>-1459</v>
      </c>
      <c r="Q198" s="122"/>
      <c r="R198" s="123"/>
      <c r="S198" s="39">
        <f t="shared" si="117"/>
        <v>-1459</v>
      </c>
      <c r="T198" s="141"/>
      <c r="U198" s="141"/>
      <c r="V198" s="46">
        <f t="shared" si="118"/>
        <v>-1459</v>
      </c>
      <c r="W198" s="143"/>
    </row>
    <row r="199" spans="1:23" ht="15.75" customHeight="1">
      <c r="A199" s="87"/>
      <c r="B199" s="77">
        <f ca="1">IFERROR(__xludf.DUMMYFUNCTION("DATE(VALUE(LEFT($B$2,4)),VALUE(MID($B$2,6,2)),VALUE(RIGHT($B$2,2)))
+ (VALUE(REGEXEXTRACT(INDIRECT(""A""&amp;ROW()+1),""\d+""))-1)*7
+ INT((COLUMN()-COLUMN($B199))/3)
"),47601)</f>
        <v>47601</v>
      </c>
      <c r="C199" s="81"/>
      <c r="D199" s="82"/>
      <c r="E199" s="77">
        <f ca="1">IFERROR(__xludf.DUMMYFUNCTION("DATE(VALUE(LEFT($B$2,4)),VALUE(MID($B$2,6,2)),VALUE(RIGHT($B$2,2)))
+ (VALUE(REGEXEXTRACT(INDIRECT(""A""&amp;ROW()+1),""\d+""))-1)*7
+ INT((COLUMN()-COLUMN($B199))/3)
"),47602)</f>
        <v>47602</v>
      </c>
      <c r="F199" s="81"/>
      <c r="G199" s="82"/>
      <c r="H199" s="77">
        <f ca="1">IFERROR(__xludf.DUMMYFUNCTION("DATE(VALUE(LEFT($B$2,4)),VALUE(MID($B$2,6,2)),VALUE(RIGHT($B$2,2)))
+ (VALUE(REGEXEXTRACT(INDIRECT(""A""&amp;ROW()+1),""\d+""))-1)*7
+ INT((COLUMN()-COLUMN($B199))/3)
"),47603)</f>
        <v>47603</v>
      </c>
      <c r="I199" s="81"/>
      <c r="J199" s="82"/>
      <c r="K199" s="77">
        <f ca="1">IFERROR(__xludf.DUMMYFUNCTION("DATE(VALUE(LEFT($B$2,4)),VALUE(MID($B$2,6,2)),VALUE(RIGHT($B$2,2)))
+ (VALUE(REGEXEXTRACT(INDIRECT(""A""&amp;ROW()+1),""\d+""))-1)*7
+ INT((COLUMN()-COLUMN($B199))/3)
"),47604)</f>
        <v>47604</v>
      </c>
      <c r="L199" s="81"/>
      <c r="M199" s="82"/>
      <c r="N199" s="77">
        <f ca="1">IFERROR(__xludf.DUMMYFUNCTION("DATE(VALUE(LEFT($B$2,4)),VALUE(MID($B$2,6,2)),VALUE(RIGHT($B$2,2)))
+ (VALUE(REGEXEXTRACT(INDIRECT(""A""&amp;ROW()+1),""\d+""))-1)*7
+ INT((COLUMN()-COLUMN($B199))/3)
"),47605)</f>
        <v>47605</v>
      </c>
      <c r="O199" s="81"/>
      <c r="P199" s="82"/>
      <c r="Q199" s="77">
        <f ca="1">IFERROR(__xludf.DUMMYFUNCTION("DATE(VALUE(LEFT($B$2,4)),VALUE(MID($B$2,6,2)),VALUE(RIGHT($B$2,2)))
+ (VALUE(REGEXEXTRACT(INDIRECT(""A""&amp;ROW()+1),""\d+""))-1)*7
+ INT((COLUMN()-COLUMN($B199))/3)
"),47606)</f>
        <v>47606</v>
      </c>
      <c r="R199" s="81"/>
      <c r="S199" s="82"/>
      <c r="T199" s="77">
        <f ca="1">IFERROR(__xludf.DUMMYFUNCTION("DATE(VALUE(LEFT($B$2,4)),VALUE(MID($B$2,6,2)),VALUE(RIGHT($B$2,2)))
+ (VALUE(REGEXEXTRACT(INDIRECT(""A""&amp;ROW()+1),""\d+""))-1)*7
+ INT((COLUMN()-COLUMN($B199))/3)
"),47607)</f>
        <v>47607</v>
      </c>
      <c r="U199" s="81"/>
      <c r="V199" s="82"/>
      <c r="W199" s="143"/>
    </row>
    <row r="200" spans="1:23" ht="15.75" customHeight="1">
      <c r="A200" s="51" t="s">
        <v>29</v>
      </c>
      <c r="B200" s="112"/>
      <c r="C200" s="111"/>
      <c r="D200" s="17">
        <f>V198+C200</f>
        <v>-1459</v>
      </c>
      <c r="E200" s="109"/>
      <c r="F200" s="109"/>
      <c r="G200" s="54">
        <f>D210+F200</f>
        <v>-1459</v>
      </c>
      <c r="H200" s="110"/>
      <c r="I200" s="111"/>
      <c r="J200" s="17">
        <f>G210+I200</f>
        <v>-1459</v>
      </c>
      <c r="K200" s="109"/>
      <c r="L200" s="109"/>
      <c r="M200" s="35">
        <f>J210+L200</f>
        <v>-1459</v>
      </c>
      <c r="N200" s="112"/>
      <c r="O200" s="111"/>
      <c r="P200" s="17">
        <f>M210+O200</f>
        <v>-1459</v>
      </c>
      <c r="Q200" s="113"/>
      <c r="R200" s="109"/>
      <c r="S200" s="35">
        <f>P210+R200</f>
        <v>-1459</v>
      </c>
      <c r="T200" s="112"/>
      <c r="U200" s="111"/>
      <c r="V200" s="48">
        <f>S210+U200</f>
        <v>-1459</v>
      </c>
      <c r="W200" s="143"/>
    </row>
    <row r="201" spans="1:23" ht="15.75" customHeight="1">
      <c r="A201" s="114"/>
      <c r="B201" s="106"/>
      <c r="C201" s="107"/>
      <c r="D201" s="26">
        <f t="shared" ref="D201:D210" si="119">D200+C201</f>
        <v>-1459</v>
      </c>
      <c r="E201" s="117"/>
      <c r="F201" s="117"/>
      <c r="G201" s="19">
        <f t="shared" ref="G201:G210" si="120">G200+F201</f>
        <v>-1459</v>
      </c>
      <c r="H201" s="116"/>
      <c r="I201" s="107"/>
      <c r="J201" s="26">
        <f t="shared" ref="J201:J210" si="121">J200+I201</f>
        <v>-1459</v>
      </c>
      <c r="K201" s="117"/>
      <c r="L201" s="117"/>
      <c r="M201" s="38">
        <f t="shared" ref="M201:M210" si="122">M200+L201</f>
        <v>-1459</v>
      </c>
      <c r="N201" s="106"/>
      <c r="O201" s="107"/>
      <c r="P201" s="26">
        <f t="shared" ref="P201:P210" si="123">P200+O201</f>
        <v>-1459</v>
      </c>
      <c r="Q201" s="118"/>
      <c r="R201" s="117"/>
      <c r="S201" s="38">
        <f t="shared" ref="S201:S210" si="124">S200+R201</f>
        <v>-1459</v>
      </c>
      <c r="T201" s="106"/>
      <c r="U201" s="107"/>
      <c r="V201" s="20">
        <f t="shared" ref="V201:V210" si="125">V200+U201</f>
        <v>-1459</v>
      </c>
      <c r="W201" s="143"/>
    </row>
    <row r="202" spans="1:23" ht="15.75" customHeight="1">
      <c r="A202" s="114"/>
      <c r="B202" s="106"/>
      <c r="C202" s="107"/>
      <c r="D202" s="26">
        <f t="shared" si="119"/>
        <v>-1459</v>
      </c>
      <c r="E202" s="117"/>
      <c r="F202" s="117"/>
      <c r="G202" s="19">
        <f t="shared" si="120"/>
        <v>-1459</v>
      </c>
      <c r="H202" s="106"/>
      <c r="I202" s="107"/>
      <c r="J202" s="26">
        <f t="shared" si="121"/>
        <v>-1459</v>
      </c>
      <c r="K202" s="117"/>
      <c r="L202" s="117"/>
      <c r="M202" s="38">
        <f t="shared" si="122"/>
        <v>-1459</v>
      </c>
      <c r="N202" s="106"/>
      <c r="O202" s="107"/>
      <c r="P202" s="26">
        <f t="shared" si="123"/>
        <v>-1459</v>
      </c>
      <c r="Q202" s="118"/>
      <c r="R202" s="117"/>
      <c r="S202" s="38">
        <f t="shared" si="124"/>
        <v>-1459</v>
      </c>
      <c r="T202" s="106"/>
      <c r="U202" s="107"/>
      <c r="V202" s="20">
        <f t="shared" si="125"/>
        <v>-1459</v>
      </c>
      <c r="W202" s="143"/>
    </row>
    <row r="203" spans="1:23" ht="15.75" customHeight="1">
      <c r="A203" s="114"/>
      <c r="B203" s="106"/>
      <c r="C203" s="107"/>
      <c r="D203" s="26">
        <f t="shared" si="119"/>
        <v>-1459</v>
      </c>
      <c r="E203" s="117"/>
      <c r="F203" s="117"/>
      <c r="G203" s="19">
        <f t="shared" si="120"/>
        <v>-1459</v>
      </c>
      <c r="H203" s="106"/>
      <c r="I203" s="107"/>
      <c r="J203" s="26">
        <f t="shared" si="121"/>
        <v>-1459</v>
      </c>
      <c r="K203" s="117"/>
      <c r="L203" s="117"/>
      <c r="M203" s="38">
        <f t="shared" si="122"/>
        <v>-1459</v>
      </c>
      <c r="N203" s="106"/>
      <c r="O203" s="107"/>
      <c r="P203" s="26">
        <f t="shared" si="123"/>
        <v>-1459</v>
      </c>
      <c r="Q203" s="118"/>
      <c r="R203" s="117"/>
      <c r="S203" s="38">
        <f t="shared" si="124"/>
        <v>-1459</v>
      </c>
      <c r="T203" s="106"/>
      <c r="U203" s="107"/>
      <c r="V203" s="20">
        <f t="shared" si="125"/>
        <v>-1459</v>
      </c>
      <c r="W203" s="143"/>
    </row>
    <row r="204" spans="1:23" ht="15.75" customHeight="1">
      <c r="A204" s="114"/>
      <c r="B204" s="106"/>
      <c r="C204" s="107"/>
      <c r="D204" s="26">
        <f t="shared" si="119"/>
        <v>-1459</v>
      </c>
      <c r="E204" s="117"/>
      <c r="F204" s="117"/>
      <c r="G204" s="19">
        <f t="shared" si="120"/>
        <v>-1459</v>
      </c>
      <c r="H204" s="106"/>
      <c r="I204" s="107"/>
      <c r="J204" s="26">
        <f t="shared" si="121"/>
        <v>-1459</v>
      </c>
      <c r="K204" s="117"/>
      <c r="L204" s="117"/>
      <c r="M204" s="38">
        <f t="shared" si="122"/>
        <v>-1459</v>
      </c>
      <c r="N204" s="106"/>
      <c r="O204" s="107"/>
      <c r="P204" s="26">
        <f t="shared" si="123"/>
        <v>-1459</v>
      </c>
      <c r="Q204" s="118"/>
      <c r="R204" s="117"/>
      <c r="S204" s="38">
        <f t="shared" si="124"/>
        <v>-1459</v>
      </c>
      <c r="T204" s="106"/>
      <c r="U204" s="107"/>
      <c r="V204" s="20">
        <f t="shared" si="125"/>
        <v>-1459</v>
      </c>
      <c r="W204" s="143"/>
    </row>
    <row r="205" spans="1:23" ht="15.75" customHeight="1">
      <c r="A205" s="114"/>
      <c r="B205" s="106"/>
      <c r="C205" s="107"/>
      <c r="D205" s="26">
        <f t="shared" si="119"/>
        <v>-1459</v>
      </c>
      <c r="E205" s="117"/>
      <c r="F205" s="117"/>
      <c r="G205" s="19">
        <f t="shared" si="120"/>
        <v>-1459</v>
      </c>
      <c r="H205" s="106"/>
      <c r="I205" s="107"/>
      <c r="J205" s="26">
        <f t="shared" si="121"/>
        <v>-1459</v>
      </c>
      <c r="K205" s="117"/>
      <c r="L205" s="117"/>
      <c r="M205" s="38">
        <f t="shared" si="122"/>
        <v>-1459</v>
      </c>
      <c r="N205" s="106"/>
      <c r="O205" s="107"/>
      <c r="P205" s="26">
        <f t="shared" si="123"/>
        <v>-1459</v>
      </c>
      <c r="Q205" s="118"/>
      <c r="R205" s="117"/>
      <c r="S205" s="38">
        <f t="shared" si="124"/>
        <v>-1459</v>
      </c>
      <c r="T205" s="106"/>
      <c r="U205" s="116"/>
      <c r="V205" s="20">
        <f t="shared" si="125"/>
        <v>-1459</v>
      </c>
      <c r="W205" s="143"/>
    </row>
    <row r="206" spans="1:23" ht="15.75" customHeight="1">
      <c r="A206" s="114"/>
      <c r="B206" s="106"/>
      <c r="C206" s="107"/>
      <c r="D206" s="26">
        <f t="shared" si="119"/>
        <v>-1459</v>
      </c>
      <c r="E206" s="117"/>
      <c r="F206" s="117"/>
      <c r="G206" s="19">
        <f t="shared" si="120"/>
        <v>-1459</v>
      </c>
      <c r="H206" s="106"/>
      <c r="I206" s="107"/>
      <c r="J206" s="26">
        <f t="shared" si="121"/>
        <v>-1459</v>
      </c>
      <c r="K206" s="117"/>
      <c r="L206" s="117"/>
      <c r="M206" s="38">
        <f t="shared" si="122"/>
        <v>-1459</v>
      </c>
      <c r="N206" s="106"/>
      <c r="O206" s="107"/>
      <c r="P206" s="26">
        <f t="shared" si="123"/>
        <v>-1459</v>
      </c>
      <c r="Q206" s="117"/>
      <c r="R206" s="117"/>
      <c r="S206" s="38">
        <f t="shared" si="124"/>
        <v>-1459</v>
      </c>
      <c r="T206" s="106"/>
      <c r="U206" s="116"/>
      <c r="V206" s="20">
        <f t="shared" si="125"/>
        <v>-1459</v>
      </c>
      <c r="W206" s="143"/>
    </row>
    <row r="207" spans="1:23" ht="15.75" customHeight="1">
      <c r="A207" s="114"/>
      <c r="B207" s="106"/>
      <c r="C207" s="107"/>
      <c r="D207" s="26">
        <f t="shared" si="119"/>
        <v>-1459</v>
      </c>
      <c r="E207" s="117"/>
      <c r="F207" s="117"/>
      <c r="G207" s="19">
        <f t="shared" si="120"/>
        <v>-1459</v>
      </c>
      <c r="H207" s="106"/>
      <c r="I207" s="107"/>
      <c r="J207" s="26">
        <f t="shared" si="121"/>
        <v>-1459</v>
      </c>
      <c r="K207" s="117"/>
      <c r="L207" s="117"/>
      <c r="M207" s="38">
        <f t="shared" si="122"/>
        <v>-1459</v>
      </c>
      <c r="N207" s="106"/>
      <c r="O207" s="107"/>
      <c r="P207" s="26">
        <f t="shared" si="123"/>
        <v>-1459</v>
      </c>
      <c r="Q207" s="118"/>
      <c r="R207" s="117"/>
      <c r="S207" s="38">
        <f t="shared" si="124"/>
        <v>-1459</v>
      </c>
      <c r="T207" s="106"/>
      <c r="U207" s="116"/>
      <c r="V207" s="20">
        <f t="shared" si="125"/>
        <v>-1459</v>
      </c>
      <c r="W207" s="143"/>
    </row>
    <row r="208" spans="1:23" ht="15.75" customHeight="1">
      <c r="A208" s="114"/>
      <c r="B208" s="122"/>
      <c r="C208" s="123"/>
      <c r="D208" s="26">
        <f t="shared" si="119"/>
        <v>-1459</v>
      </c>
      <c r="E208" s="117"/>
      <c r="F208" s="117"/>
      <c r="G208" s="19">
        <f t="shared" si="120"/>
        <v>-1459</v>
      </c>
      <c r="H208" s="122"/>
      <c r="I208" s="123"/>
      <c r="J208" s="26">
        <f t="shared" si="121"/>
        <v>-1459</v>
      </c>
      <c r="K208" s="117"/>
      <c r="L208" s="117"/>
      <c r="M208" s="38">
        <f t="shared" si="122"/>
        <v>-1459</v>
      </c>
      <c r="N208" s="106"/>
      <c r="O208" s="107"/>
      <c r="P208" s="26">
        <f t="shared" si="123"/>
        <v>-1459</v>
      </c>
      <c r="Q208" s="118"/>
      <c r="R208" s="117"/>
      <c r="S208" s="38">
        <f t="shared" si="124"/>
        <v>-1459</v>
      </c>
      <c r="T208" s="106"/>
      <c r="U208" s="116"/>
      <c r="V208" s="20">
        <f t="shared" si="125"/>
        <v>-1459</v>
      </c>
      <c r="W208" s="143"/>
    </row>
    <row r="209" spans="1:23" ht="15.75" customHeight="1">
      <c r="A209" s="114"/>
      <c r="B209" s="122"/>
      <c r="C209" s="123"/>
      <c r="D209" s="26">
        <f t="shared" si="119"/>
        <v>-1459</v>
      </c>
      <c r="E209" s="117"/>
      <c r="F209" s="117"/>
      <c r="G209" s="19">
        <f t="shared" si="120"/>
        <v>-1459</v>
      </c>
      <c r="H209" s="122"/>
      <c r="I209" s="123"/>
      <c r="J209" s="26">
        <f t="shared" si="121"/>
        <v>-1459</v>
      </c>
      <c r="K209" s="117"/>
      <c r="L209" s="117"/>
      <c r="M209" s="38">
        <f t="shared" si="122"/>
        <v>-1459</v>
      </c>
      <c r="N209" s="122"/>
      <c r="O209" s="123"/>
      <c r="P209" s="26">
        <f t="shared" si="123"/>
        <v>-1459</v>
      </c>
      <c r="Q209" s="117"/>
      <c r="R209" s="117"/>
      <c r="S209" s="38">
        <f t="shared" si="124"/>
        <v>-1459</v>
      </c>
      <c r="T209" s="122"/>
      <c r="U209" s="124"/>
      <c r="V209" s="20">
        <f t="shared" si="125"/>
        <v>-1459</v>
      </c>
      <c r="W209" s="143"/>
    </row>
    <row r="210" spans="1:23" ht="15.75" customHeight="1">
      <c r="A210" s="114"/>
      <c r="B210" s="122"/>
      <c r="C210" s="123"/>
      <c r="D210" s="39">
        <f t="shared" si="119"/>
        <v>-1459</v>
      </c>
      <c r="E210" s="128"/>
      <c r="F210" s="128"/>
      <c r="G210" s="29">
        <f t="shared" si="120"/>
        <v>-1459</v>
      </c>
      <c r="H210" s="122"/>
      <c r="I210" s="123"/>
      <c r="J210" s="39">
        <f t="shared" si="121"/>
        <v>-1459</v>
      </c>
      <c r="K210" s="128"/>
      <c r="L210" s="128"/>
      <c r="M210" s="40">
        <f t="shared" si="122"/>
        <v>-1459</v>
      </c>
      <c r="N210" s="122"/>
      <c r="O210" s="123"/>
      <c r="P210" s="39">
        <f t="shared" si="123"/>
        <v>-1459</v>
      </c>
      <c r="Q210" s="128"/>
      <c r="R210" s="128"/>
      <c r="S210" s="40">
        <f t="shared" si="124"/>
        <v>-1459</v>
      </c>
      <c r="T210" s="122"/>
      <c r="U210" s="123"/>
      <c r="V210" s="49">
        <f t="shared" si="125"/>
        <v>-1459</v>
      </c>
      <c r="W210" s="143"/>
    </row>
    <row r="211" spans="1:23" ht="15.75" customHeight="1">
      <c r="A211" s="87"/>
      <c r="B211" s="77">
        <f ca="1">IFERROR(__xludf.DUMMYFUNCTION("DATE(VALUE(LEFT($B$2,4)),VALUE(MID($B$2,6,2)),VALUE(RIGHT($B$2,2)))
+ (VALUE(REGEXEXTRACT(INDIRECT(""A""&amp;ROW()+1),""\d+""))-1)*7
+ INT((COLUMN()-COLUMN($B211))/3)
"),47608)</f>
        <v>47608</v>
      </c>
      <c r="C211" s="81"/>
      <c r="D211" s="82"/>
      <c r="E211" s="77">
        <f ca="1">IFERROR(__xludf.DUMMYFUNCTION("DATE(VALUE(LEFT($B$2,4)),VALUE(MID($B$2,6,2)),VALUE(RIGHT($B$2,2)))
+ (VALUE(REGEXEXTRACT(INDIRECT(""A""&amp;ROW()+1),""\d+""))-1)*7
+ INT((COLUMN()-COLUMN($B211))/3)
"),47609)</f>
        <v>47609</v>
      </c>
      <c r="F211" s="81"/>
      <c r="G211" s="82"/>
      <c r="H211" s="77">
        <f ca="1">IFERROR(__xludf.DUMMYFUNCTION("DATE(VALUE(LEFT($B$2,4)),VALUE(MID($B$2,6,2)),VALUE(RIGHT($B$2,2)))
+ (VALUE(REGEXEXTRACT(INDIRECT(""A""&amp;ROW()+1),""\d+""))-1)*7
+ INT((COLUMN()-COLUMN($B211))/3)
"),47610)</f>
        <v>47610</v>
      </c>
      <c r="I211" s="81"/>
      <c r="J211" s="82"/>
      <c r="K211" s="77">
        <f ca="1">IFERROR(__xludf.DUMMYFUNCTION("DATE(VALUE(LEFT($B$2,4)),VALUE(MID($B$2,6,2)),VALUE(RIGHT($B$2,2)))
+ (VALUE(REGEXEXTRACT(INDIRECT(""A""&amp;ROW()+1),""\d+""))-1)*7
+ INT((COLUMN()-COLUMN($B211))/3)
"),47611)</f>
        <v>47611</v>
      </c>
      <c r="L211" s="81"/>
      <c r="M211" s="82"/>
      <c r="N211" s="77">
        <f ca="1">IFERROR(__xludf.DUMMYFUNCTION("DATE(VALUE(LEFT($B$2,4)),VALUE(MID($B$2,6,2)),VALUE(RIGHT($B$2,2)))
+ (VALUE(REGEXEXTRACT(INDIRECT(""A""&amp;ROW()+1),""\d+""))-1)*7
+ INT((COLUMN()-COLUMN($B211))/3)
"),47612)</f>
        <v>47612</v>
      </c>
      <c r="O211" s="81"/>
      <c r="P211" s="82"/>
      <c r="Q211" s="77">
        <f ca="1">IFERROR(__xludf.DUMMYFUNCTION("DATE(VALUE(LEFT($B$2,4)),VALUE(MID($B$2,6,2)),VALUE(RIGHT($B$2,2)))
+ (VALUE(REGEXEXTRACT(INDIRECT(""A""&amp;ROW()+1),""\d+""))-1)*7
+ INT((COLUMN()-COLUMN($B211))/3)
"),47613)</f>
        <v>47613</v>
      </c>
      <c r="R211" s="81"/>
      <c r="S211" s="82"/>
      <c r="T211" s="77">
        <f ca="1">IFERROR(__xludf.DUMMYFUNCTION("DATE(VALUE(LEFT($B$2,4)),VALUE(MID($B$2,6,2)),VALUE(RIGHT($B$2,2)))
+ (VALUE(REGEXEXTRACT(INDIRECT(""A""&amp;ROW()+1),""\d+""))-1)*7
+ INT((COLUMN()-COLUMN($B211))/3)
"),47614)</f>
        <v>47614</v>
      </c>
      <c r="U211" s="81"/>
      <c r="V211" s="82"/>
      <c r="W211" s="52" t="s">
        <v>20</v>
      </c>
    </row>
    <row r="212" spans="1:23" ht="15.75" customHeight="1">
      <c r="A212" s="47" t="s">
        <v>51</v>
      </c>
      <c r="B212" s="109"/>
      <c r="C212" s="109"/>
      <c r="D212" s="42">
        <f>V210+C212</f>
        <v>-1459</v>
      </c>
      <c r="E212" s="112"/>
      <c r="F212" s="111"/>
      <c r="G212" s="36">
        <f>D222+F212</f>
        <v>-1459</v>
      </c>
      <c r="H212" s="132"/>
      <c r="I212" s="109"/>
      <c r="J212" s="42">
        <f>G222+I212</f>
        <v>-1459</v>
      </c>
      <c r="K212" s="112"/>
      <c r="L212" s="111"/>
      <c r="M212" s="18">
        <f>J222+L212</f>
        <v>-1459</v>
      </c>
      <c r="N212" s="113"/>
      <c r="O212" s="109"/>
      <c r="P212" s="35">
        <f>M222+O212</f>
        <v>-1459</v>
      </c>
      <c r="Q212" s="112"/>
      <c r="R212" s="111"/>
      <c r="S212" s="18">
        <f>P222+R212</f>
        <v>-1459</v>
      </c>
      <c r="T212" s="113"/>
      <c r="U212" s="109"/>
      <c r="V212" s="50">
        <f>S222+U212</f>
        <v>-1459</v>
      </c>
      <c r="W212" s="172"/>
    </row>
    <row r="213" spans="1:23" ht="15.75" customHeight="1">
      <c r="A213" s="114"/>
      <c r="B213" s="117"/>
      <c r="C213" s="117"/>
      <c r="D213" s="19">
        <f t="shared" ref="D213:D222" si="126">D212+C213</f>
        <v>-1459</v>
      </c>
      <c r="E213" s="106"/>
      <c r="F213" s="107"/>
      <c r="G213" s="26">
        <f t="shared" ref="G213:G222" si="127">G212+F213</f>
        <v>-1459</v>
      </c>
      <c r="H213" s="133"/>
      <c r="I213" s="117"/>
      <c r="J213" s="19">
        <f t="shared" ref="J213:J222" si="128">J212+I213</f>
        <v>-1459</v>
      </c>
      <c r="K213" s="106"/>
      <c r="L213" s="107"/>
      <c r="M213" s="26">
        <f t="shared" ref="M213:M222" si="129">M212+L213</f>
        <v>-1459</v>
      </c>
      <c r="N213" s="117"/>
      <c r="O213" s="117"/>
      <c r="P213" s="38">
        <f t="shared" ref="P213:P222" si="130">P212+O213</f>
        <v>-1459</v>
      </c>
      <c r="Q213" s="106"/>
      <c r="R213" s="107"/>
      <c r="S213" s="26">
        <f t="shared" ref="S213:S222" si="131">S212+R213</f>
        <v>-1459</v>
      </c>
      <c r="T213" s="136"/>
      <c r="U213" s="136"/>
      <c r="V213" s="45">
        <f t="shared" ref="V213:V222" si="132">V212+U213</f>
        <v>-1459</v>
      </c>
      <c r="W213" s="143"/>
    </row>
    <row r="214" spans="1:23" ht="15.75" customHeight="1">
      <c r="A214" s="114"/>
      <c r="B214" s="117"/>
      <c r="C214" s="117"/>
      <c r="D214" s="19">
        <f t="shared" si="126"/>
        <v>-1459</v>
      </c>
      <c r="E214" s="106"/>
      <c r="F214" s="107"/>
      <c r="G214" s="26">
        <f t="shared" si="127"/>
        <v>-1459</v>
      </c>
      <c r="H214" s="133"/>
      <c r="I214" s="117"/>
      <c r="J214" s="19">
        <f t="shared" si="128"/>
        <v>-1459</v>
      </c>
      <c r="K214" s="106"/>
      <c r="L214" s="107"/>
      <c r="M214" s="26">
        <f t="shared" si="129"/>
        <v>-1459</v>
      </c>
      <c r="N214" s="117"/>
      <c r="O214" s="117"/>
      <c r="P214" s="38">
        <f t="shared" si="130"/>
        <v>-1459</v>
      </c>
      <c r="Q214" s="106"/>
      <c r="R214" s="107"/>
      <c r="S214" s="26">
        <f t="shared" si="131"/>
        <v>-1459</v>
      </c>
      <c r="T214" s="136"/>
      <c r="U214" s="136"/>
      <c r="V214" s="45">
        <f t="shared" si="132"/>
        <v>-1459</v>
      </c>
      <c r="W214" s="143"/>
    </row>
    <row r="215" spans="1:23" ht="15.75" customHeight="1">
      <c r="A215" s="114"/>
      <c r="B215" s="117"/>
      <c r="C215" s="117"/>
      <c r="D215" s="19">
        <f t="shared" si="126"/>
        <v>-1459</v>
      </c>
      <c r="E215" s="106"/>
      <c r="F215" s="107"/>
      <c r="G215" s="26">
        <f t="shared" si="127"/>
        <v>-1459</v>
      </c>
      <c r="H215" s="133"/>
      <c r="I215" s="117"/>
      <c r="J215" s="19">
        <f t="shared" si="128"/>
        <v>-1459</v>
      </c>
      <c r="K215" s="106"/>
      <c r="L215" s="107"/>
      <c r="M215" s="26">
        <f t="shared" si="129"/>
        <v>-1459</v>
      </c>
      <c r="N215" s="117"/>
      <c r="O215" s="117"/>
      <c r="P215" s="38">
        <f t="shared" si="130"/>
        <v>-1459</v>
      </c>
      <c r="Q215" s="106"/>
      <c r="R215" s="107"/>
      <c r="S215" s="26">
        <f t="shared" si="131"/>
        <v>-1459</v>
      </c>
      <c r="T215" s="136"/>
      <c r="U215" s="136"/>
      <c r="V215" s="45">
        <f t="shared" si="132"/>
        <v>-1459</v>
      </c>
      <c r="W215" s="143"/>
    </row>
    <row r="216" spans="1:23" ht="15.75" customHeight="1">
      <c r="A216" s="114"/>
      <c r="B216" s="117"/>
      <c r="C216" s="117"/>
      <c r="D216" s="19">
        <f t="shared" si="126"/>
        <v>-1459</v>
      </c>
      <c r="E216" s="106"/>
      <c r="F216" s="107"/>
      <c r="G216" s="26">
        <f t="shared" si="127"/>
        <v>-1459</v>
      </c>
      <c r="H216" s="133"/>
      <c r="I216" s="117"/>
      <c r="J216" s="19">
        <f t="shared" si="128"/>
        <v>-1459</v>
      </c>
      <c r="K216" s="106"/>
      <c r="L216" s="107"/>
      <c r="M216" s="26">
        <f t="shared" si="129"/>
        <v>-1459</v>
      </c>
      <c r="N216" s="117"/>
      <c r="O216" s="117"/>
      <c r="P216" s="38">
        <f t="shared" si="130"/>
        <v>-1459</v>
      </c>
      <c r="Q216" s="106"/>
      <c r="R216" s="107"/>
      <c r="S216" s="26">
        <f t="shared" si="131"/>
        <v>-1459</v>
      </c>
      <c r="T216" s="136"/>
      <c r="U216" s="136"/>
      <c r="V216" s="45">
        <f t="shared" si="132"/>
        <v>-1459</v>
      </c>
      <c r="W216" s="143"/>
    </row>
    <row r="217" spans="1:23" ht="15.75" customHeight="1">
      <c r="A217" s="114"/>
      <c r="B217" s="117"/>
      <c r="C217" s="117"/>
      <c r="D217" s="19">
        <f t="shared" si="126"/>
        <v>-1459</v>
      </c>
      <c r="E217" s="106"/>
      <c r="F217" s="107"/>
      <c r="G217" s="26">
        <f t="shared" si="127"/>
        <v>-1459</v>
      </c>
      <c r="H217" s="133"/>
      <c r="I217" s="117"/>
      <c r="J217" s="19">
        <f t="shared" si="128"/>
        <v>-1459</v>
      </c>
      <c r="K217" s="106"/>
      <c r="L217" s="107"/>
      <c r="M217" s="26">
        <f t="shared" si="129"/>
        <v>-1459</v>
      </c>
      <c r="N217" s="117"/>
      <c r="O217" s="117"/>
      <c r="P217" s="38">
        <f t="shared" si="130"/>
        <v>-1459</v>
      </c>
      <c r="Q217" s="106"/>
      <c r="R217" s="107"/>
      <c r="S217" s="26">
        <f t="shared" si="131"/>
        <v>-1459</v>
      </c>
      <c r="T217" s="136"/>
      <c r="U217" s="136"/>
      <c r="V217" s="45">
        <f t="shared" si="132"/>
        <v>-1459</v>
      </c>
      <c r="W217" s="143"/>
    </row>
    <row r="218" spans="1:23" ht="15.75" customHeight="1">
      <c r="A218" s="114"/>
      <c r="B218" s="117"/>
      <c r="C218" s="117"/>
      <c r="D218" s="19">
        <f t="shared" si="126"/>
        <v>-1459</v>
      </c>
      <c r="E218" s="106"/>
      <c r="F218" s="107"/>
      <c r="G218" s="26">
        <f t="shared" si="127"/>
        <v>-1459</v>
      </c>
      <c r="H218" s="133"/>
      <c r="I218" s="117"/>
      <c r="J218" s="19">
        <f t="shared" si="128"/>
        <v>-1459</v>
      </c>
      <c r="K218" s="106"/>
      <c r="L218" s="107"/>
      <c r="M218" s="26">
        <f t="shared" si="129"/>
        <v>-1459</v>
      </c>
      <c r="N218" s="118"/>
      <c r="O218" s="117"/>
      <c r="P218" s="38">
        <f t="shared" si="130"/>
        <v>-1459</v>
      </c>
      <c r="Q218" s="106"/>
      <c r="R218" s="107"/>
      <c r="S218" s="26">
        <f t="shared" si="131"/>
        <v>-1459</v>
      </c>
      <c r="T218" s="136"/>
      <c r="U218" s="136"/>
      <c r="V218" s="45">
        <f t="shared" si="132"/>
        <v>-1459</v>
      </c>
      <c r="W218" s="143"/>
    </row>
    <row r="219" spans="1:23" ht="15.75" customHeight="1">
      <c r="A219" s="114"/>
      <c r="B219" s="117"/>
      <c r="C219" s="117"/>
      <c r="D219" s="19">
        <f t="shared" si="126"/>
        <v>-1459</v>
      </c>
      <c r="E219" s="106"/>
      <c r="F219" s="107"/>
      <c r="G219" s="26">
        <f t="shared" si="127"/>
        <v>-1459</v>
      </c>
      <c r="H219" s="133"/>
      <c r="I219" s="117"/>
      <c r="J219" s="19">
        <f t="shared" si="128"/>
        <v>-1459</v>
      </c>
      <c r="K219" s="106"/>
      <c r="L219" s="107"/>
      <c r="M219" s="26">
        <f t="shared" si="129"/>
        <v>-1459</v>
      </c>
      <c r="N219" s="117"/>
      <c r="O219" s="117"/>
      <c r="P219" s="38">
        <f t="shared" si="130"/>
        <v>-1459</v>
      </c>
      <c r="Q219" s="106"/>
      <c r="R219" s="107"/>
      <c r="S219" s="26">
        <f t="shared" si="131"/>
        <v>-1459</v>
      </c>
      <c r="T219" s="136"/>
      <c r="U219" s="136"/>
      <c r="V219" s="45">
        <f t="shared" si="132"/>
        <v>-1459</v>
      </c>
      <c r="W219" s="143"/>
    </row>
    <row r="220" spans="1:23" ht="15.75" customHeight="1">
      <c r="A220" s="114"/>
      <c r="B220" s="117"/>
      <c r="C220" s="117"/>
      <c r="D220" s="19">
        <f t="shared" si="126"/>
        <v>-1459</v>
      </c>
      <c r="E220" s="106"/>
      <c r="F220" s="107"/>
      <c r="G220" s="26">
        <f t="shared" si="127"/>
        <v>-1459</v>
      </c>
      <c r="H220" s="133"/>
      <c r="I220" s="117"/>
      <c r="J220" s="19">
        <f t="shared" si="128"/>
        <v>-1459</v>
      </c>
      <c r="K220" s="106"/>
      <c r="L220" s="107"/>
      <c r="M220" s="26">
        <f t="shared" si="129"/>
        <v>-1459</v>
      </c>
      <c r="N220" s="117"/>
      <c r="O220" s="117"/>
      <c r="P220" s="38">
        <f t="shared" si="130"/>
        <v>-1459</v>
      </c>
      <c r="Q220" s="106"/>
      <c r="R220" s="107"/>
      <c r="S220" s="26">
        <f t="shared" si="131"/>
        <v>-1459</v>
      </c>
      <c r="T220" s="136"/>
      <c r="U220" s="136"/>
      <c r="V220" s="45">
        <f t="shared" si="132"/>
        <v>-1459</v>
      </c>
      <c r="W220" s="143"/>
    </row>
    <row r="221" spans="1:23" ht="15.75" customHeight="1">
      <c r="A221" s="114"/>
      <c r="B221" s="118"/>
      <c r="C221" s="117"/>
      <c r="D221" s="19">
        <f t="shared" si="126"/>
        <v>-1459</v>
      </c>
      <c r="E221" s="122"/>
      <c r="F221" s="123"/>
      <c r="G221" s="26">
        <f t="shared" si="127"/>
        <v>-1459</v>
      </c>
      <c r="H221" s="133"/>
      <c r="I221" s="117"/>
      <c r="J221" s="19">
        <f t="shared" si="128"/>
        <v>-1459</v>
      </c>
      <c r="K221" s="122"/>
      <c r="L221" s="123"/>
      <c r="M221" s="26">
        <f t="shared" si="129"/>
        <v>-1459</v>
      </c>
      <c r="N221" s="117"/>
      <c r="O221" s="117"/>
      <c r="P221" s="38">
        <f t="shared" si="130"/>
        <v>-1459</v>
      </c>
      <c r="Q221" s="122"/>
      <c r="R221" s="123"/>
      <c r="S221" s="26">
        <f t="shared" si="131"/>
        <v>-1459</v>
      </c>
      <c r="T221" s="136"/>
      <c r="U221" s="136"/>
      <c r="V221" s="45">
        <f t="shared" si="132"/>
        <v>-1459</v>
      </c>
      <c r="W221" s="143"/>
    </row>
    <row r="222" spans="1:23" ht="15.75" customHeight="1">
      <c r="A222" s="114"/>
      <c r="B222" s="128"/>
      <c r="C222" s="128"/>
      <c r="D222" s="29">
        <f t="shared" si="126"/>
        <v>-1459</v>
      </c>
      <c r="E222" s="122"/>
      <c r="F222" s="123"/>
      <c r="G222" s="53">
        <f t="shared" si="127"/>
        <v>-1459</v>
      </c>
      <c r="H222" s="140"/>
      <c r="I222" s="128"/>
      <c r="J222" s="29">
        <f t="shared" si="128"/>
        <v>-1459</v>
      </c>
      <c r="K222" s="122"/>
      <c r="L222" s="123"/>
      <c r="M222" s="39">
        <f t="shared" si="129"/>
        <v>-1459</v>
      </c>
      <c r="N222" s="128"/>
      <c r="O222" s="128"/>
      <c r="P222" s="40">
        <f t="shared" si="130"/>
        <v>-1459</v>
      </c>
      <c r="Q222" s="122"/>
      <c r="R222" s="123"/>
      <c r="S222" s="39">
        <f t="shared" si="131"/>
        <v>-1459</v>
      </c>
      <c r="T222" s="141"/>
      <c r="U222" s="141"/>
      <c r="V222" s="46">
        <f t="shared" si="132"/>
        <v>-1459</v>
      </c>
      <c r="W222" s="143"/>
    </row>
    <row r="223" spans="1:23" ht="15.75" customHeight="1">
      <c r="A223" s="87"/>
      <c r="B223" s="77">
        <f ca="1">IFERROR(__xludf.DUMMYFUNCTION("DATE(VALUE(LEFT($B$2,4)),VALUE(MID($B$2,6,2)),VALUE(RIGHT($B$2,2)))
+ (VALUE(REGEXEXTRACT(INDIRECT(""A""&amp;ROW()+1),""\d+""))-1)*7
+ INT((COLUMN()-COLUMN($B223))/3)
"),47615)</f>
        <v>47615</v>
      </c>
      <c r="C223" s="81"/>
      <c r="D223" s="82"/>
      <c r="E223" s="77">
        <f ca="1">IFERROR(__xludf.DUMMYFUNCTION("DATE(VALUE(LEFT($B$2,4)),VALUE(MID($B$2,6,2)),VALUE(RIGHT($B$2,2)))
+ (VALUE(REGEXEXTRACT(INDIRECT(""A""&amp;ROW()+1),""\d+""))-1)*7
+ INT((COLUMN()-COLUMN($B223))/3)
"),47616)</f>
        <v>47616</v>
      </c>
      <c r="F223" s="81"/>
      <c r="G223" s="82"/>
      <c r="H223" s="77">
        <f ca="1">IFERROR(__xludf.DUMMYFUNCTION("DATE(VALUE(LEFT($B$2,4)),VALUE(MID($B$2,6,2)),VALUE(RIGHT($B$2,2)))
+ (VALUE(REGEXEXTRACT(INDIRECT(""A""&amp;ROW()+1),""\d+""))-1)*7
+ INT((COLUMN()-COLUMN($B223))/3)
"),47617)</f>
        <v>47617</v>
      </c>
      <c r="I223" s="81"/>
      <c r="J223" s="82"/>
      <c r="K223" s="77">
        <f ca="1">IFERROR(__xludf.DUMMYFUNCTION("DATE(VALUE(LEFT($B$2,4)),VALUE(MID($B$2,6,2)),VALUE(RIGHT($B$2,2)))
+ (VALUE(REGEXEXTRACT(INDIRECT(""A""&amp;ROW()+1),""\d+""))-1)*7
+ INT((COLUMN()-COLUMN($B223))/3)
"),47618)</f>
        <v>47618</v>
      </c>
      <c r="L223" s="81"/>
      <c r="M223" s="82"/>
      <c r="N223" s="77">
        <f ca="1">IFERROR(__xludf.DUMMYFUNCTION("DATE(VALUE(LEFT($B$2,4)),VALUE(MID($B$2,6,2)),VALUE(RIGHT($B$2,2)))
+ (VALUE(REGEXEXTRACT(INDIRECT(""A""&amp;ROW()+1),""\d+""))-1)*7
+ INT((COLUMN()-COLUMN($B223))/3)
"),47619)</f>
        <v>47619</v>
      </c>
      <c r="O223" s="81"/>
      <c r="P223" s="82"/>
      <c r="Q223" s="77">
        <f ca="1">IFERROR(__xludf.DUMMYFUNCTION("DATE(VALUE(LEFT($B$2,4)),VALUE(MID($B$2,6,2)),VALUE(RIGHT($B$2,2)))
+ (VALUE(REGEXEXTRACT(INDIRECT(""A""&amp;ROW()+1),""\d+""))-1)*7
+ INT((COLUMN()-COLUMN($B223))/3)
"),47620)</f>
        <v>47620</v>
      </c>
      <c r="R223" s="81"/>
      <c r="S223" s="82"/>
      <c r="T223" s="77">
        <f ca="1">IFERROR(__xludf.DUMMYFUNCTION("DATE(VALUE(LEFT($B$2,4)),VALUE(MID($B$2,6,2)),VALUE(RIGHT($B$2,2)))
+ (VALUE(REGEXEXTRACT(INDIRECT(""A""&amp;ROW()+1),""\d+""))-1)*7
+ INT((COLUMN()-COLUMN($B223))/3)
"),47621)</f>
        <v>47621</v>
      </c>
      <c r="U223" s="81"/>
      <c r="V223" s="82"/>
      <c r="W223" s="143"/>
    </row>
    <row r="224" spans="1:23" ht="15.75" customHeight="1">
      <c r="A224" s="51" t="s">
        <v>72</v>
      </c>
      <c r="B224" s="112"/>
      <c r="C224" s="111"/>
      <c r="D224" s="17">
        <f>V222+C224</f>
        <v>-1459</v>
      </c>
      <c r="E224" s="109"/>
      <c r="F224" s="109"/>
      <c r="G224" s="54">
        <f>D234+F224</f>
        <v>-1459</v>
      </c>
      <c r="H224" s="110"/>
      <c r="I224" s="111"/>
      <c r="J224" s="17">
        <f>G234+I224</f>
        <v>-1459</v>
      </c>
      <c r="K224" s="109"/>
      <c r="L224" s="109"/>
      <c r="M224" s="35">
        <f>J234+L224</f>
        <v>-1459</v>
      </c>
      <c r="N224" s="112"/>
      <c r="O224" s="111"/>
      <c r="P224" s="17">
        <f>M234+O224</f>
        <v>-1459</v>
      </c>
      <c r="Q224" s="109"/>
      <c r="R224" s="109"/>
      <c r="S224" s="35">
        <f>P234+R224</f>
        <v>-1459</v>
      </c>
      <c r="T224" s="112"/>
      <c r="U224" s="111"/>
      <c r="V224" s="48">
        <f>S234+U224</f>
        <v>-1459</v>
      </c>
      <c r="W224" s="143"/>
    </row>
    <row r="225" spans="1:23" ht="15.75" customHeight="1">
      <c r="A225" s="114"/>
      <c r="B225" s="106"/>
      <c r="C225" s="107"/>
      <c r="D225" s="26">
        <f t="shared" ref="D225:D234" si="133">D224+C225</f>
        <v>-1459</v>
      </c>
      <c r="E225" s="117"/>
      <c r="F225" s="117"/>
      <c r="G225" s="19">
        <f t="shared" ref="G225:G234" si="134">G224+F225</f>
        <v>-1459</v>
      </c>
      <c r="H225" s="116"/>
      <c r="I225" s="107"/>
      <c r="J225" s="26">
        <f t="shared" ref="J225:J234" si="135">J224+I225</f>
        <v>-1459</v>
      </c>
      <c r="K225" s="117"/>
      <c r="L225" s="117"/>
      <c r="M225" s="38">
        <f t="shared" ref="M225:M234" si="136">M224+L225</f>
        <v>-1459</v>
      </c>
      <c r="N225" s="106"/>
      <c r="O225" s="107"/>
      <c r="P225" s="26">
        <f t="shared" ref="P225:P234" si="137">P224+O225</f>
        <v>-1459</v>
      </c>
      <c r="Q225" s="117"/>
      <c r="R225" s="117"/>
      <c r="S225" s="38">
        <f t="shared" ref="S225:S234" si="138">S224+R225</f>
        <v>-1459</v>
      </c>
      <c r="T225" s="106"/>
      <c r="U225" s="107"/>
      <c r="V225" s="20">
        <f t="shared" ref="V225:V234" si="139">V224+U225</f>
        <v>-1459</v>
      </c>
      <c r="W225" s="143"/>
    </row>
    <row r="226" spans="1:23" ht="15.75" customHeight="1">
      <c r="A226" s="114"/>
      <c r="B226" s="106"/>
      <c r="C226" s="107"/>
      <c r="D226" s="26">
        <f t="shared" si="133"/>
        <v>-1459</v>
      </c>
      <c r="E226" s="117"/>
      <c r="F226" s="117"/>
      <c r="G226" s="19">
        <f t="shared" si="134"/>
        <v>-1459</v>
      </c>
      <c r="H226" s="116"/>
      <c r="I226" s="107"/>
      <c r="J226" s="26">
        <f t="shared" si="135"/>
        <v>-1459</v>
      </c>
      <c r="K226" s="117"/>
      <c r="L226" s="117"/>
      <c r="M226" s="38">
        <f t="shared" si="136"/>
        <v>-1459</v>
      </c>
      <c r="N226" s="106"/>
      <c r="O226" s="107"/>
      <c r="P226" s="26">
        <f t="shared" si="137"/>
        <v>-1459</v>
      </c>
      <c r="Q226" s="117"/>
      <c r="R226" s="117"/>
      <c r="S226" s="38">
        <f t="shared" si="138"/>
        <v>-1459</v>
      </c>
      <c r="T226" s="106"/>
      <c r="U226" s="116"/>
      <c r="V226" s="20">
        <f t="shared" si="139"/>
        <v>-1459</v>
      </c>
      <c r="W226" s="143"/>
    </row>
    <row r="227" spans="1:23" ht="15.75" customHeight="1">
      <c r="A227" s="114"/>
      <c r="B227" s="106"/>
      <c r="C227" s="107"/>
      <c r="D227" s="26">
        <f t="shared" si="133"/>
        <v>-1459</v>
      </c>
      <c r="E227" s="117"/>
      <c r="F227" s="117"/>
      <c r="G227" s="19">
        <f t="shared" si="134"/>
        <v>-1459</v>
      </c>
      <c r="H227" s="116"/>
      <c r="I227" s="107"/>
      <c r="J227" s="26">
        <f t="shared" si="135"/>
        <v>-1459</v>
      </c>
      <c r="K227" s="117"/>
      <c r="L227" s="117"/>
      <c r="M227" s="38">
        <f t="shared" si="136"/>
        <v>-1459</v>
      </c>
      <c r="N227" s="106"/>
      <c r="O227" s="107"/>
      <c r="P227" s="26">
        <f t="shared" si="137"/>
        <v>-1459</v>
      </c>
      <c r="Q227" s="117"/>
      <c r="R227" s="117"/>
      <c r="S227" s="38">
        <f t="shared" si="138"/>
        <v>-1459</v>
      </c>
      <c r="T227" s="106"/>
      <c r="U227" s="116"/>
      <c r="V227" s="20">
        <f t="shared" si="139"/>
        <v>-1459</v>
      </c>
      <c r="W227" s="143"/>
    </row>
    <row r="228" spans="1:23" ht="15.75" customHeight="1">
      <c r="A228" s="114"/>
      <c r="B228" s="106"/>
      <c r="C228" s="107"/>
      <c r="D228" s="26">
        <f t="shared" si="133"/>
        <v>-1459</v>
      </c>
      <c r="E228" s="117"/>
      <c r="F228" s="117"/>
      <c r="G228" s="19">
        <f t="shared" si="134"/>
        <v>-1459</v>
      </c>
      <c r="H228" s="116"/>
      <c r="I228" s="107"/>
      <c r="J228" s="26">
        <f t="shared" si="135"/>
        <v>-1459</v>
      </c>
      <c r="K228" s="117"/>
      <c r="L228" s="117"/>
      <c r="M228" s="38">
        <f t="shared" si="136"/>
        <v>-1459</v>
      </c>
      <c r="N228" s="106"/>
      <c r="O228" s="107"/>
      <c r="P228" s="26">
        <f t="shared" si="137"/>
        <v>-1459</v>
      </c>
      <c r="Q228" s="133"/>
      <c r="R228" s="117"/>
      <c r="S228" s="38">
        <f t="shared" si="138"/>
        <v>-1459</v>
      </c>
      <c r="T228" s="106"/>
      <c r="U228" s="116"/>
      <c r="V228" s="20">
        <f t="shared" si="139"/>
        <v>-1459</v>
      </c>
      <c r="W228" s="143"/>
    </row>
    <row r="229" spans="1:23" ht="15.75" customHeight="1">
      <c r="A229" s="114"/>
      <c r="B229" s="106"/>
      <c r="C229" s="107"/>
      <c r="D229" s="26">
        <f t="shared" si="133"/>
        <v>-1459</v>
      </c>
      <c r="E229" s="117"/>
      <c r="F229" s="117"/>
      <c r="G229" s="19">
        <f t="shared" si="134"/>
        <v>-1459</v>
      </c>
      <c r="H229" s="116"/>
      <c r="I229" s="107"/>
      <c r="J229" s="26">
        <f t="shared" si="135"/>
        <v>-1459</v>
      </c>
      <c r="K229" s="117"/>
      <c r="L229" s="117"/>
      <c r="M229" s="38">
        <f t="shared" si="136"/>
        <v>-1459</v>
      </c>
      <c r="N229" s="106"/>
      <c r="O229" s="107"/>
      <c r="P229" s="26">
        <f t="shared" si="137"/>
        <v>-1459</v>
      </c>
      <c r="Q229" s="117"/>
      <c r="R229" s="117"/>
      <c r="S229" s="38">
        <f t="shared" si="138"/>
        <v>-1459</v>
      </c>
      <c r="T229" s="106"/>
      <c r="U229" s="116"/>
      <c r="V229" s="20">
        <f t="shared" si="139"/>
        <v>-1459</v>
      </c>
      <c r="W229" s="143"/>
    </row>
    <row r="230" spans="1:23" ht="15.75" customHeight="1">
      <c r="A230" s="114"/>
      <c r="B230" s="106"/>
      <c r="C230" s="107"/>
      <c r="D230" s="26">
        <f t="shared" si="133"/>
        <v>-1459</v>
      </c>
      <c r="E230" s="117"/>
      <c r="F230" s="117"/>
      <c r="G230" s="19">
        <f t="shared" si="134"/>
        <v>-1459</v>
      </c>
      <c r="H230" s="116"/>
      <c r="I230" s="107"/>
      <c r="J230" s="26">
        <f t="shared" si="135"/>
        <v>-1459</v>
      </c>
      <c r="K230" s="117"/>
      <c r="L230" s="117"/>
      <c r="M230" s="38">
        <f t="shared" si="136"/>
        <v>-1459</v>
      </c>
      <c r="N230" s="106"/>
      <c r="O230" s="107"/>
      <c r="P230" s="26">
        <f t="shared" si="137"/>
        <v>-1459</v>
      </c>
      <c r="Q230" s="117"/>
      <c r="R230" s="117"/>
      <c r="S230" s="38">
        <f t="shared" si="138"/>
        <v>-1459</v>
      </c>
      <c r="T230" s="106"/>
      <c r="U230" s="116"/>
      <c r="V230" s="20">
        <f t="shared" si="139"/>
        <v>-1459</v>
      </c>
      <c r="W230" s="143"/>
    </row>
    <row r="231" spans="1:23" ht="15.75" customHeight="1">
      <c r="A231" s="114"/>
      <c r="B231" s="106"/>
      <c r="C231" s="107"/>
      <c r="D231" s="26">
        <f t="shared" si="133"/>
        <v>-1459</v>
      </c>
      <c r="E231" s="117"/>
      <c r="F231" s="117"/>
      <c r="G231" s="19">
        <f t="shared" si="134"/>
        <v>-1459</v>
      </c>
      <c r="H231" s="116"/>
      <c r="I231" s="107"/>
      <c r="J231" s="26">
        <f t="shared" si="135"/>
        <v>-1459</v>
      </c>
      <c r="K231" s="117"/>
      <c r="L231" s="117"/>
      <c r="M231" s="38">
        <f t="shared" si="136"/>
        <v>-1459</v>
      </c>
      <c r="N231" s="106"/>
      <c r="O231" s="107"/>
      <c r="P231" s="26">
        <f t="shared" si="137"/>
        <v>-1459</v>
      </c>
      <c r="Q231" s="117"/>
      <c r="R231" s="117"/>
      <c r="S231" s="38">
        <f t="shared" si="138"/>
        <v>-1459</v>
      </c>
      <c r="T231" s="106"/>
      <c r="U231" s="116"/>
      <c r="V231" s="20">
        <f t="shared" si="139"/>
        <v>-1459</v>
      </c>
      <c r="W231" s="143"/>
    </row>
    <row r="232" spans="1:23" ht="15.75" customHeight="1">
      <c r="A232" s="114"/>
      <c r="B232" s="122"/>
      <c r="C232" s="123"/>
      <c r="D232" s="26">
        <f t="shared" si="133"/>
        <v>-1459</v>
      </c>
      <c r="E232" s="117"/>
      <c r="F232" s="117"/>
      <c r="G232" s="19">
        <f t="shared" si="134"/>
        <v>-1459</v>
      </c>
      <c r="H232" s="124"/>
      <c r="I232" s="123"/>
      <c r="J232" s="26">
        <f t="shared" si="135"/>
        <v>-1459</v>
      </c>
      <c r="K232" s="117"/>
      <c r="L232" s="117"/>
      <c r="M232" s="38">
        <f t="shared" si="136"/>
        <v>-1459</v>
      </c>
      <c r="N232" s="122"/>
      <c r="O232" s="123"/>
      <c r="P232" s="26">
        <f t="shared" si="137"/>
        <v>-1459</v>
      </c>
      <c r="Q232" s="117"/>
      <c r="R232" s="117"/>
      <c r="S232" s="38">
        <f t="shared" si="138"/>
        <v>-1459</v>
      </c>
      <c r="T232" s="106"/>
      <c r="U232" s="116"/>
      <c r="V232" s="20">
        <f t="shared" si="139"/>
        <v>-1459</v>
      </c>
      <c r="W232" s="143"/>
    </row>
    <row r="233" spans="1:23" ht="15.75" customHeight="1">
      <c r="A233" s="114"/>
      <c r="B233" s="122"/>
      <c r="C233" s="123"/>
      <c r="D233" s="26">
        <f t="shared" si="133"/>
        <v>-1459</v>
      </c>
      <c r="E233" s="117"/>
      <c r="F233" s="117"/>
      <c r="G233" s="19">
        <f t="shared" si="134"/>
        <v>-1459</v>
      </c>
      <c r="H233" s="124"/>
      <c r="I233" s="123"/>
      <c r="J233" s="26">
        <f t="shared" si="135"/>
        <v>-1459</v>
      </c>
      <c r="K233" s="117"/>
      <c r="L233" s="117"/>
      <c r="M233" s="38">
        <f t="shared" si="136"/>
        <v>-1459</v>
      </c>
      <c r="N233" s="122"/>
      <c r="O233" s="123"/>
      <c r="P233" s="26">
        <f t="shared" si="137"/>
        <v>-1459</v>
      </c>
      <c r="Q233" s="117"/>
      <c r="R233" s="117"/>
      <c r="S233" s="38">
        <f t="shared" si="138"/>
        <v>-1459</v>
      </c>
      <c r="T233" s="122"/>
      <c r="U233" s="124"/>
      <c r="V233" s="20">
        <f t="shared" si="139"/>
        <v>-1459</v>
      </c>
      <c r="W233" s="143"/>
    </row>
    <row r="234" spans="1:23" ht="15.75" customHeight="1">
      <c r="A234" s="114"/>
      <c r="B234" s="122"/>
      <c r="C234" s="123"/>
      <c r="D234" s="39">
        <f t="shared" si="133"/>
        <v>-1459</v>
      </c>
      <c r="E234" s="128"/>
      <c r="F234" s="128"/>
      <c r="G234" s="55">
        <f t="shared" si="134"/>
        <v>-1459</v>
      </c>
      <c r="H234" s="124"/>
      <c r="I234" s="123"/>
      <c r="J234" s="39">
        <f t="shared" si="135"/>
        <v>-1459</v>
      </c>
      <c r="K234" s="128"/>
      <c r="L234" s="128"/>
      <c r="M234" s="40">
        <f t="shared" si="136"/>
        <v>-1459</v>
      </c>
      <c r="N234" s="122"/>
      <c r="O234" s="123"/>
      <c r="P234" s="39">
        <f t="shared" si="137"/>
        <v>-1459</v>
      </c>
      <c r="Q234" s="128"/>
      <c r="R234" s="128"/>
      <c r="S234" s="40">
        <f t="shared" si="138"/>
        <v>-1459</v>
      </c>
      <c r="T234" s="122"/>
      <c r="U234" s="123"/>
      <c r="V234" s="49">
        <f t="shared" si="139"/>
        <v>-1459</v>
      </c>
      <c r="W234" s="143"/>
    </row>
    <row r="235" spans="1:23" ht="15.75" customHeight="1">
      <c r="A235" s="87"/>
      <c r="B235" s="77">
        <f ca="1">IFERROR(__xludf.DUMMYFUNCTION("DATE(VALUE(LEFT($B$2,4)),VALUE(MID($B$2,6,2)),VALUE(RIGHT($B$2,2)))
+ (VALUE(REGEXEXTRACT(INDIRECT(""A""&amp;ROW()+1),""\d+""))-1)*7
+ INT((COLUMN()-COLUMN($B235))/3)
"),47622)</f>
        <v>47622</v>
      </c>
      <c r="C235" s="81"/>
      <c r="D235" s="82"/>
      <c r="E235" s="77">
        <f ca="1">IFERROR(__xludf.DUMMYFUNCTION("DATE(VALUE(LEFT($B$2,4)),VALUE(MID($B$2,6,2)),VALUE(RIGHT($B$2,2)))
+ (VALUE(REGEXEXTRACT(INDIRECT(""A""&amp;ROW()+1),""\d+""))-1)*7
+ INT((COLUMN()-COLUMN($B235))/3)
"),47623)</f>
        <v>47623</v>
      </c>
      <c r="F235" s="81"/>
      <c r="G235" s="82"/>
      <c r="H235" s="77">
        <f ca="1">IFERROR(__xludf.DUMMYFUNCTION("DATE(VALUE(LEFT($B$2,4)),VALUE(MID($B$2,6,2)),VALUE(RIGHT($B$2,2)))
+ (VALUE(REGEXEXTRACT(INDIRECT(""A""&amp;ROW()+1),""\d+""))-1)*7
+ INT((COLUMN()-COLUMN($B235))/3)
"),47624)</f>
        <v>47624</v>
      </c>
      <c r="I235" s="81"/>
      <c r="J235" s="82"/>
      <c r="K235" s="77">
        <f ca="1">IFERROR(__xludf.DUMMYFUNCTION("DATE(VALUE(LEFT($B$2,4)),VALUE(MID($B$2,6,2)),VALUE(RIGHT($B$2,2)))
+ (VALUE(REGEXEXTRACT(INDIRECT(""A""&amp;ROW()+1),""\d+""))-1)*7
+ INT((COLUMN()-COLUMN($B235))/3)
"),47625)</f>
        <v>47625</v>
      </c>
      <c r="L235" s="81"/>
      <c r="M235" s="82"/>
      <c r="N235" s="77">
        <f ca="1">IFERROR(__xludf.DUMMYFUNCTION("DATE(VALUE(LEFT($B$2,4)),VALUE(MID($B$2,6,2)),VALUE(RIGHT($B$2,2)))
+ (VALUE(REGEXEXTRACT(INDIRECT(""A""&amp;ROW()+1),""\d+""))-1)*7
+ INT((COLUMN()-COLUMN($B235))/3)
"),47626)</f>
        <v>47626</v>
      </c>
      <c r="O235" s="81"/>
      <c r="P235" s="82"/>
      <c r="Q235" s="77">
        <f ca="1">IFERROR(__xludf.DUMMYFUNCTION("DATE(VALUE(LEFT($B$2,4)),VALUE(MID($B$2,6,2)),VALUE(RIGHT($B$2,2)))
+ (VALUE(REGEXEXTRACT(INDIRECT(""A""&amp;ROW()+1),""\d+""))-1)*7
+ INT((COLUMN()-COLUMN($B235))/3)
"),47627)</f>
        <v>47627</v>
      </c>
      <c r="R235" s="81"/>
      <c r="S235" s="82"/>
      <c r="T235" s="77">
        <f ca="1">IFERROR(__xludf.DUMMYFUNCTION("DATE(VALUE(LEFT($B$2,4)),VALUE(MID($B$2,6,2)),VALUE(RIGHT($B$2,2)))
+ (VALUE(REGEXEXTRACT(INDIRECT(""A""&amp;ROW()+1),""\d+""))-1)*7
+ INT((COLUMN()-COLUMN($B235))/3)
"),47628)</f>
        <v>47628</v>
      </c>
      <c r="U235" s="81"/>
      <c r="V235" s="82"/>
      <c r="W235" s="52" t="s">
        <v>20</v>
      </c>
    </row>
    <row r="236" spans="1:23" ht="15.75" customHeight="1">
      <c r="A236" s="47" t="s">
        <v>89</v>
      </c>
      <c r="B236" s="109"/>
      <c r="C236" s="109"/>
      <c r="D236" s="42">
        <f>V234+C236</f>
        <v>-1459</v>
      </c>
      <c r="E236" s="112"/>
      <c r="F236" s="111"/>
      <c r="G236" s="36">
        <f>D246+F236</f>
        <v>-1459</v>
      </c>
      <c r="H236" s="132"/>
      <c r="I236" s="109"/>
      <c r="J236" s="42">
        <f>G246+I236</f>
        <v>-1459</v>
      </c>
      <c r="K236" s="112"/>
      <c r="L236" s="111"/>
      <c r="M236" s="18">
        <f>J246+L236</f>
        <v>-1459</v>
      </c>
      <c r="N236" s="113"/>
      <c r="O236" s="109"/>
      <c r="P236" s="35">
        <f>M246+O236</f>
        <v>-1459</v>
      </c>
      <c r="Q236" s="112"/>
      <c r="R236" s="111"/>
      <c r="S236" s="18">
        <f>P246+R236</f>
        <v>-1459</v>
      </c>
      <c r="T236" s="113"/>
      <c r="U236" s="109"/>
      <c r="V236" s="50">
        <f>S246+U236</f>
        <v>-1459</v>
      </c>
      <c r="W236" s="172"/>
    </row>
    <row r="237" spans="1:23" ht="15.75" customHeight="1">
      <c r="A237" s="114"/>
      <c r="B237" s="117"/>
      <c r="C237" s="117"/>
      <c r="D237" s="19">
        <f t="shared" ref="D237:D246" si="140">D236+C237</f>
        <v>-1459</v>
      </c>
      <c r="E237" s="106"/>
      <c r="F237" s="107"/>
      <c r="G237" s="26">
        <f t="shared" ref="G237:G246" si="141">G236+F237</f>
        <v>-1459</v>
      </c>
      <c r="H237" s="133"/>
      <c r="I237" s="117"/>
      <c r="J237" s="19">
        <f t="shared" ref="J237:J246" si="142">J236+I237</f>
        <v>-1459</v>
      </c>
      <c r="K237" s="106"/>
      <c r="L237" s="107"/>
      <c r="M237" s="26">
        <f t="shared" ref="M237:M246" si="143">M236+L237</f>
        <v>-1459</v>
      </c>
      <c r="N237" s="118"/>
      <c r="O237" s="117"/>
      <c r="P237" s="38">
        <f t="shared" ref="P237:P246" si="144">P236+O237</f>
        <v>-1459</v>
      </c>
      <c r="Q237" s="106"/>
      <c r="R237" s="107"/>
      <c r="S237" s="26">
        <f t="shared" ref="S237:S246" si="145">S236+R237</f>
        <v>-1459</v>
      </c>
      <c r="T237" s="136"/>
      <c r="U237" s="136"/>
      <c r="V237" s="45">
        <f t="shared" ref="V237:V246" si="146">V236+U237</f>
        <v>-1459</v>
      </c>
      <c r="W237" s="143"/>
    </row>
    <row r="238" spans="1:23" ht="15.75" customHeight="1">
      <c r="A238" s="114"/>
      <c r="B238" s="117"/>
      <c r="C238" s="117"/>
      <c r="D238" s="19">
        <f t="shared" si="140"/>
        <v>-1459</v>
      </c>
      <c r="E238" s="106"/>
      <c r="F238" s="107"/>
      <c r="G238" s="26">
        <f t="shared" si="141"/>
        <v>-1459</v>
      </c>
      <c r="H238" s="133"/>
      <c r="I238" s="117"/>
      <c r="J238" s="19">
        <f t="shared" si="142"/>
        <v>-1459</v>
      </c>
      <c r="K238" s="106"/>
      <c r="L238" s="107"/>
      <c r="M238" s="26">
        <f t="shared" si="143"/>
        <v>-1459</v>
      </c>
      <c r="N238" s="117"/>
      <c r="O238" s="117"/>
      <c r="P238" s="38">
        <f t="shared" si="144"/>
        <v>-1459</v>
      </c>
      <c r="Q238" s="106"/>
      <c r="R238" s="107"/>
      <c r="S238" s="26">
        <f t="shared" si="145"/>
        <v>-1459</v>
      </c>
      <c r="T238" s="136"/>
      <c r="U238" s="136"/>
      <c r="V238" s="45">
        <f t="shared" si="146"/>
        <v>-1459</v>
      </c>
      <c r="W238" s="143"/>
    </row>
    <row r="239" spans="1:23" ht="15.75" customHeight="1">
      <c r="A239" s="114"/>
      <c r="B239" s="117"/>
      <c r="C239" s="117"/>
      <c r="D239" s="19">
        <f t="shared" si="140"/>
        <v>-1459</v>
      </c>
      <c r="E239" s="106"/>
      <c r="F239" s="107"/>
      <c r="G239" s="26">
        <f t="shared" si="141"/>
        <v>-1459</v>
      </c>
      <c r="H239" s="133"/>
      <c r="I239" s="117"/>
      <c r="J239" s="19">
        <f t="shared" si="142"/>
        <v>-1459</v>
      </c>
      <c r="K239" s="106"/>
      <c r="L239" s="107"/>
      <c r="M239" s="26">
        <f t="shared" si="143"/>
        <v>-1459</v>
      </c>
      <c r="N239" s="117"/>
      <c r="O239" s="117"/>
      <c r="P239" s="38">
        <f t="shared" si="144"/>
        <v>-1459</v>
      </c>
      <c r="Q239" s="106"/>
      <c r="R239" s="107"/>
      <c r="S239" s="26">
        <f t="shared" si="145"/>
        <v>-1459</v>
      </c>
      <c r="T239" s="136"/>
      <c r="U239" s="136"/>
      <c r="V239" s="45">
        <f t="shared" si="146"/>
        <v>-1459</v>
      </c>
      <c r="W239" s="143"/>
    </row>
    <row r="240" spans="1:23" ht="15.75" customHeight="1">
      <c r="A240" s="114"/>
      <c r="B240" s="117"/>
      <c r="C240" s="117"/>
      <c r="D240" s="19">
        <f t="shared" si="140"/>
        <v>-1459</v>
      </c>
      <c r="E240" s="106"/>
      <c r="F240" s="107"/>
      <c r="G240" s="26">
        <f t="shared" si="141"/>
        <v>-1459</v>
      </c>
      <c r="H240" s="133"/>
      <c r="I240" s="117"/>
      <c r="J240" s="19">
        <f t="shared" si="142"/>
        <v>-1459</v>
      </c>
      <c r="K240" s="106"/>
      <c r="L240" s="107"/>
      <c r="M240" s="26">
        <f t="shared" si="143"/>
        <v>-1459</v>
      </c>
      <c r="N240" s="117"/>
      <c r="O240" s="117"/>
      <c r="P240" s="38">
        <f t="shared" si="144"/>
        <v>-1459</v>
      </c>
      <c r="Q240" s="106"/>
      <c r="R240" s="107"/>
      <c r="S240" s="26">
        <f t="shared" si="145"/>
        <v>-1459</v>
      </c>
      <c r="T240" s="136"/>
      <c r="U240" s="136"/>
      <c r="V240" s="45">
        <f t="shared" si="146"/>
        <v>-1459</v>
      </c>
      <c r="W240" s="143"/>
    </row>
    <row r="241" spans="1:23" ht="15.75" customHeight="1">
      <c r="A241" s="114"/>
      <c r="B241" s="118"/>
      <c r="C241" s="117"/>
      <c r="D241" s="19">
        <f t="shared" si="140"/>
        <v>-1459</v>
      </c>
      <c r="E241" s="106"/>
      <c r="F241" s="107"/>
      <c r="G241" s="26">
        <f t="shared" si="141"/>
        <v>-1459</v>
      </c>
      <c r="H241" s="133"/>
      <c r="I241" s="117"/>
      <c r="J241" s="19">
        <f t="shared" si="142"/>
        <v>-1459</v>
      </c>
      <c r="K241" s="106"/>
      <c r="L241" s="107"/>
      <c r="M241" s="26">
        <f t="shared" si="143"/>
        <v>-1459</v>
      </c>
      <c r="N241" s="117"/>
      <c r="O241" s="117"/>
      <c r="P241" s="38">
        <f t="shared" si="144"/>
        <v>-1459</v>
      </c>
      <c r="Q241" s="106"/>
      <c r="R241" s="107"/>
      <c r="S241" s="26">
        <f t="shared" si="145"/>
        <v>-1459</v>
      </c>
      <c r="T241" s="136"/>
      <c r="U241" s="136"/>
      <c r="V241" s="45">
        <f t="shared" si="146"/>
        <v>-1459</v>
      </c>
      <c r="W241" s="143"/>
    </row>
    <row r="242" spans="1:23" ht="15.75" customHeight="1">
      <c r="A242" s="114"/>
      <c r="B242" s="117"/>
      <c r="C242" s="117"/>
      <c r="D242" s="19">
        <f t="shared" si="140"/>
        <v>-1459</v>
      </c>
      <c r="E242" s="106"/>
      <c r="F242" s="107"/>
      <c r="G242" s="26">
        <f t="shared" si="141"/>
        <v>-1459</v>
      </c>
      <c r="H242" s="133"/>
      <c r="I242" s="117"/>
      <c r="J242" s="19">
        <f t="shared" si="142"/>
        <v>-1459</v>
      </c>
      <c r="K242" s="106"/>
      <c r="L242" s="107"/>
      <c r="M242" s="26">
        <f t="shared" si="143"/>
        <v>-1459</v>
      </c>
      <c r="N242" s="117"/>
      <c r="O242" s="117"/>
      <c r="P242" s="38">
        <f t="shared" si="144"/>
        <v>-1459</v>
      </c>
      <c r="Q242" s="106"/>
      <c r="R242" s="107"/>
      <c r="S242" s="26">
        <f t="shared" si="145"/>
        <v>-1459</v>
      </c>
      <c r="T242" s="136"/>
      <c r="U242" s="136"/>
      <c r="V242" s="45">
        <f t="shared" si="146"/>
        <v>-1459</v>
      </c>
      <c r="W242" s="143"/>
    </row>
    <row r="243" spans="1:23" ht="15.75" customHeight="1">
      <c r="A243" s="114"/>
      <c r="B243" s="117"/>
      <c r="C243" s="117"/>
      <c r="D243" s="19">
        <f t="shared" si="140"/>
        <v>-1459</v>
      </c>
      <c r="E243" s="106"/>
      <c r="F243" s="107"/>
      <c r="G243" s="26">
        <f t="shared" si="141"/>
        <v>-1459</v>
      </c>
      <c r="H243" s="133"/>
      <c r="I243" s="117"/>
      <c r="J243" s="19">
        <f t="shared" si="142"/>
        <v>-1459</v>
      </c>
      <c r="K243" s="106"/>
      <c r="L243" s="107"/>
      <c r="M243" s="26">
        <f t="shared" si="143"/>
        <v>-1459</v>
      </c>
      <c r="N243" s="117"/>
      <c r="O243" s="117"/>
      <c r="P243" s="38">
        <f t="shared" si="144"/>
        <v>-1459</v>
      </c>
      <c r="Q243" s="106"/>
      <c r="R243" s="107"/>
      <c r="S243" s="26">
        <f t="shared" si="145"/>
        <v>-1459</v>
      </c>
      <c r="T243" s="136"/>
      <c r="U243" s="136"/>
      <c r="V243" s="45">
        <f t="shared" si="146"/>
        <v>-1459</v>
      </c>
      <c r="W243" s="143"/>
    </row>
    <row r="244" spans="1:23" ht="15.75" customHeight="1">
      <c r="A244" s="114"/>
      <c r="B244" s="117"/>
      <c r="C244" s="117"/>
      <c r="D244" s="19">
        <f t="shared" si="140"/>
        <v>-1459</v>
      </c>
      <c r="E244" s="106"/>
      <c r="F244" s="107"/>
      <c r="G244" s="26">
        <f t="shared" si="141"/>
        <v>-1459</v>
      </c>
      <c r="H244" s="133"/>
      <c r="I244" s="117"/>
      <c r="J244" s="19">
        <f t="shared" si="142"/>
        <v>-1459</v>
      </c>
      <c r="K244" s="106"/>
      <c r="L244" s="107"/>
      <c r="M244" s="26">
        <f t="shared" si="143"/>
        <v>-1459</v>
      </c>
      <c r="N244" s="117"/>
      <c r="O244" s="117"/>
      <c r="P244" s="38">
        <f t="shared" si="144"/>
        <v>-1459</v>
      </c>
      <c r="Q244" s="106"/>
      <c r="R244" s="107"/>
      <c r="S244" s="26">
        <f t="shared" si="145"/>
        <v>-1459</v>
      </c>
      <c r="T244" s="136"/>
      <c r="U244" s="136"/>
      <c r="V244" s="45">
        <f t="shared" si="146"/>
        <v>-1459</v>
      </c>
      <c r="W244" s="143"/>
    </row>
    <row r="245" spans="1:23" ht="15.75" customHeight="1">
      <c r="A245" s="114"/>
      <c r="B245" s="117"/>
      <c r="C245" s="117"/>
      <c r="D245" s="19">
        <f t="shared" si="140"/>
        <v>-1459</v>
      </c>
      <c r="E245" s="122"/>
      <c r="F245" s="123"/>
      <c r="G245" s="26">
        <f t="shared" si="141"/>
        <v>-1459</v>
      </c>
      <c r="H245" s="133"/>
      <c r="I245" s="117"/>
      <c r="J245" s="19">
        <f t="shared" si="142"/>
        <v>-1459</v>
      </c>
      <c r="K245" s="122"/>
      <c r="L245" s="123"/>
      <c r="M245" s="26">
        <f t="shared" si="143"/>
        <v>-1459</v>
      </c>
      <c r="N245" s="117"/>
      <c r="O245" s="117"/>
      <c r="P245" s="38">
        <f t="shared" si="144"/>
        <v>-1459</v>
      </c>
      <c r="Q245" s="122"/>
      <c r="R245" s="123"/>
      <c r="S245" s="26">
        <f t="shared" si="145"/>
        <v>-1459</v>
      </c>
      <c r="T245" s="136"/>
      <c r="U245" s="136"/>
      <c r="V245" s="45">
        <f t="shared" si="146"/>
        <v>-1459</v>
      </c>
      <c r="W245" s="143"/>
    </row>
    <row r="246" spans="1:23" ht="15.75" customHeight="1">
      <c r="A246" s="114"/>
      <c r="B246" s="128"/>
      <c r="C246" s="128"/>
      <c r="D246" s="29">
        <f t="shared" si="140"/>
        <v>-1459</v>
      </c>
      <c r="E246" s="122"/>
      <c r="F246" s="123"/>
      <c r="G246" s="53">
        <f t="shared" si="141"/>
        <v>-1459</v>
      </c>
      <c r="H246" s="140"/>
      <c r="I246" s="128"/>
      <c r="J246" s="29">
        <f t="shared" si="142"/>
        <v>-1459</v>
      </c>
      <c r="K246" s="122"/>
      <c r="L246" s="123"/>
      <c r="M246" s="39">
        <f t="shared" si="143"/>
        <v>-1459</v>
      </c>
      <c r="N246" s="128"/>
      <c r="O246" s="128"/>
      <c r="P246" s="40">
        <f t="shared" si="144"/>
        <v>-1459</v>
      </c>
      <c r="Q246" s="122"/>
      <c r="R246" s="123"/>
      <c r="S246" s="39">
        <f t="shared" si="145"/>
        <v>-1459</v>
      </c>
      <c r="T246" s="141"/>
      <c r="U246" s="141"/>
      <c r="V246" s="46">
        <f t="shared" si="146"/>
        <v>-1459</v>
      </c>
      <c r="W246" s="143"/>
    </row>
    <row r="247" spans="1:23" ht="15.75" customHeight="1">
      <c r="A247" s="87"/>
      <c r="B247" s="77">
        <f ca="1">IFERROR(__xludf.DUMMYFUNCTION("DATE(VALUE(LEFT($B$2,4)),VALUE(MID($B$2,6,2)),VALUE(RIGHT($B$2,2)))
+ (VALUE(REGEXEXTRACT(INDIRECT(""A""&amp;ROW()+1),""\d+""))-1)*7
+ INT((COLUMN()-COLUMN($B247))/3)
"),47629)</f>
        <v>47629</v>
      </c>
      <c r="C247" s="81"/>
      <c r="D247" s="82"/>
      <c r="E247" s="77">
        <f ca="1">IFERROR(__xludf.DUMMYFUNCTION("DATE(VALUE(LEFT($B$2,4)),VALUE(MID($B$2,6,2)),VALUE(RIGHT($B$2,2)))
+ (VALUE(REGEXEXTRACT(INDIRECT(""A""&amp;ROW()+1),""\d+""))-1)*7
+ INT((COLUMN()-COLUMN($B247))/3)
"),47630)</f>
        <v>47630</v>
      </c>
      <c r="F247" s="81"/>
      <c r="G247" s="82"/>
      <c r="H247" s="77">
        <f ca="1">IFERROR(__xludf.DUMMYFUNCTION("DATE(VALUE(LEFT($B$2,4)),VALUE(MID($B$2,6,2)),VALUE(RIGHT($B$2,2)))
+ (VALUE(REGEXEXTRACT(INDIRECT(""A""&amp;ROW()+1),""\d+""))-1)*7
+ INT((COLUMN()-COLUMN($B247))/3)
"),47631)</f>
        <v>47631</v>
      </c>
      <c r="I247" s="81"/>
      <c r="J247" s="82"/>
      <c r="K247" s="77">
        <f ca="1">IFERROR(__xludf.DUMMYFUNCTION("DATE(VALUE(LEFT($B$2,4)),VALUE(MID($B$2,6,2)),VALUE(RIGHT($B$2,2)))
+ (VALUE(REGEXEXTRACT(INDIRECT(""A""&amp;ROW()+1),""\d+""))-1)*7
+ INT((COLUMN()-COLUMN($B247))/3)
"),47632)</f>
        <v>47632</v>
      </c>
      <c r="L247" s="81"/>
      <c r="M247" s="82"/>
      <c r="N247" s="77">
        <f ca="1">IFERROR(__xludf.DUMMYFUNCTION("DATE(VALUE(LEFT($B$2,4)),VALUE(MID($B$2,6,2)),VALUE(RIGHT($B$2,2)))
+ (VALUE(REGEXEXTRACT(INDIRECT(""A""&amp;ROW()+1),""\d+""))-1)*7
+ INT((COLUMN()-COLUMN($B247))/3)
"),47633)</f>
        <v>47633</v>
      </c>
      <c r="O247" s="81"/>
      <c r="P247" s="82"/>
      <c r="Q247" s="77">
        <f ca="1">IFERROR(__xludf.DUMMYFUNCTION("DATE(VALUE(LEFT($B$2,4)),VALUE(MID($B$2,6,2)),VALUE(RIGHT($B$2,2)))
+ (VALUE(REGEXEXTRACT(INDIRECT(""A""&amp;ROW()+1),""\d+""))-1)*7
+ INT((COLUMN()-COLUMN($B247))/3)
"),47634)</f>
        <v>47634</v>
      </c>
      <c r="R247" s="81"/>
      <c r="S247" s="82"/>
      <c r="T247" s="77">
        <f ca="1">IFERROR(__xludf.DUMMYFUNCTION("DATE(VALUE(LEFT($B$2,4)),VALUE(MID($B$2,6,2)),VALUE(RIGHT($B$2,2)))
+ (VALUE(REGEXEXTRACT(INDIRECT(""A""&amp;ROW()+1),""\d+""))-1)*7
+ INT((COLUMN()-COLUMN($B247))/3)
"),47635)</f>
        <v>47635</v>
      </c>
      <c r="U247" s="81"/>
      <c r="V247" s="82"/>
      <c r="W247" s="143"/>
    </row>
    <row r="248" spans="1:23" ht="15.75" customHeight="1">
      <c r="A248" s="51" t="s">
        <v>98</v>
      </c>
      <c r="B248" s="112"/>
      <c r="C248" s="111"/>
      <c r="D248" s="17">
        <f>V246+C248</f>
        <v>-1459</v>
      </c>
      <c r="E248" s="109"/>
      <c r="F248" s="109"/>
      <c r="G248" s="42">
        <f>D258+F248</f>
        <v>-1459</v>
      </c>
      <c r="H248" s="112"/>
      <c r="I248" s="111"/>
      <c r="J248" s="17">
        <f>G258+I248</f>
        <v>-1459</v>
      </c>
      <c r="K248" s="109"/>
      <c r="L248" s="109"/>
      <c r="M248" s="35">
        <f>J258+L248</f>
        <v>-1459</v>
      </c>
      <c r="N248" s="112"/>
      <c r="O248" s="111"/>
      <c r="P248" s="17">
        <f>M258+O248</f>
        <v>-1459</v>
      </c>
      <c r="Q248" s="109"/>
      <c r="R248" s="109"/>
      <c r="S248" s="35">
        <f>P258+R248</f>
        <v>-1459</v>
      </c>
      <c r="T248" s="112"/>
      <c r="U248" s="111"/>
      <c r="V248" s="48">
        <f>S258+U248</f>
        <v>-1459</v>
      </c>
      <c r="W248" s="143"/>
    </row>
    <row r="249" spans="1:23" ht="15.75" customHeight="1">
      <c r="A249" s="114"/>
      <c r="B249" s="106"/>
      <c r="C249" s="107"/>
      <c r="D249" s="26">
        <f t="shared" ref="D249:D258" si="147">D248+C249</f>
        <v>-1459</v>
      </c>
      <c r="E249" s="117"/>
      <c r="F249" s="117"/>
      <c r="G249" s="19">
        <f t="shared" ref="G249:G258" si="148">G248+F249</f>
        <v>-1459</v>
      </c>
      <c r="H249" s="106"/>
      <c r="I249" s="107"/>
      <c r="J249" s="26">
        <f t="shared" ref="J249:J258" si="149">J248+I249</f>
        <v>-1459</v>
      </c>
      <c r="K249" s="117"/>
      <c r="L249" s="117"/>
      <c r="M249" s="38">
        <f t="shared" ref="M249:M258" si="150">M248+L249</f>
        <v>-1459</v>
      </c>
      <c r="N249" s="106"/>
      <c r="O249" s="107"/>
      <c r="P249" s="26">
        <f t="shared" ref="P249:P258" si="151">P248+O249</f>
        <v>-1459</v>
      </c>
      <c r="Q249" s="117"/>
      <c r="R249" s="117"/>
      <c r="S249" s="38">
        <f t="shared" ref="S249:S258" si="152">S248+R249</f>
        <v>-1459</v>
      </c>
      <c r="T249" s="106"/>
      <c r="U249" s="107"/>
      <c r="V249" s="20">
        <f t="shared" ref="V249:V258" si="153">V248+U249</f>
        <v>-1459</v>
      </c>
      <c r="W249" s="143"/>
    </row>
    <row r="250" spans="1:23" ht="15.75" customHeight="1">
      <c r="A250" s="114"/>
      <c r="B250" s="106"/>
      <c r="C250" s="107"/>
      <c r="D250" s="26">
        <f t="shared" si="147"/>
        <v>-1459</v>
      </c>
      <c r="E250" s="117"/>
      <c r="F250" s="117"/>
      <c r="G250" s="19">
        <f t="shared" si="148"/>
        <v>-1459</v>
      </c>
      <c r="H250" s="106"/>
      <c r="I250" s="107"/>
      <c r="J250" s="26">
        <f t="shared" si="149"/>
        <v>-1459</v>
      </c>
      <c r="K250" s="117"/>
      <c r="L250" s="117"/>
      <c r="M250" s="38">
        <f t="shared" si="150"/>
        <v>-1459</v>
      </c>
      <c r="N250" s="106"/>
      <c r="O250" s="107"/>
      <c r="P250" s="26">
        <f t="shared" si="151"/>
        <v>-1459</v>
      </c>
      <c r="Q250" s="117"/>
      <c r="R250" s="117"/>
      <c r="S250" s="38">
        <f t="shared" si="152"/>
        <v>-1459</v>
      </c>
      <c r="T250" s="106"/>
      <c r="U250" s="116"/>
      <c r="V250" s="20">
        <f t="shared" si="153"/>
        <v>-1459</v>
      </c>
      <c r="W250" s="143"/>
    </row>
    <row r="251" spans="1:23" ht="15.75" customHeight="1">
      <c r="A251" s="114"/>
      <c r="B251" s="106"/>
      <c r="C251" s="107"/>
      <c r="D251" s="26">
        <f t="shared" si="147"/>
        <v>-1459</v>
      </c>
      <c r="E251" s="117"/>
      <c r="F251" s="117"/>
      <c r="G251" s="19">
        <f t="shared" si="148"/>
        <v>-1459</v>
      </c>
      <c r="H251" s="106"/>
      <c r="I251" s="107"/>
      <c r="J251" s="26">
        <f t="shared" si="149"/>
        <v>-1459</v>
      </c>
      <c r="K251" s="117"/>
      <c r="L251" s="117"/>
      <c r="M251" s="38">
        <f t="shared" si="150"/>
        <v>-1459</v>
      </c>
      <c r="N251" s="106"/>
      <c r="O251" s="107"/>
      <c r="P251" s="26">
        <f t="shared" si="151"/>
        <v>-1459</v>
      </c>
      <c r="Q251" s="117"/>
      <c r="R251" s="117"/>
      <c r="S251" s="38">
        <f t="shared" si="152"/>
        <v>-1459</v>
      </c>
      <c r="T251" s="106"/>
      <c r="U251" s="116"/>
      <c r="V251" s="20">
        <f t="shared" si="153"/>
        <v>-1459</v>
      </c>
      <c r="W251" s="143"/>
    </row>
    <row r="252" spans="1:23" ht="15.75" customHeight="1">
      <c r="A252" s="114"/>
      <c r="B252" s="106"/>
      <c r="C252" s="107"/>
      <c r="D252" s="26">
        <f t="shared" si="147"/>
        <v>-1459</v>
      </c>
      <c r="E252" s="117"/>
      <c r="F252" s="117"/>
      <c r="G252" s="19">
        <f t="shared" si="148"/>
        <v>-1459</v>
      </c>
      <c r="H252" s="106"/>
      <c r="I252" s="107"/>
      <c r="J252" s="26">
        <f t="shared" si="149"/>
        <v>-1459</v>
      </c>
      <c r="K252" s="117"/>
      <c r="L252" s="117"/>
      <c r="M252" s="38">
        <f t="shared" si="150"/>
        <v>-1459</v>
      </c>
      <c r="N252" s="106"/>
      <c r="O252" s="107"/>
      <c r="P252" s="26">
        <f t="shared" si="151"/>
        <v>-1459</v>
      </c>
      <c r="Q252" s="117"/>
      <c r="R252" s="117"/>
      <c r="S252" s="38">
        <f t="shared" si="152"/>
        <v>-1459</v>
      </c>
      <c r="T252" s="106"/>
      <c r="U252" s="116"/>
      <c r="V252" s="20">
        <f t="shared" si="153"/>
        <v>-1459</v>
      </c>
      <c r="W252" s="143"/>
    </row>
    <row r="253" spans="1:23" ht="15.75" customHeight="1">
      <c r="A253" s="114"/>
      <c r="B253" s="106"/>
      <c r="C253" s="107"/>
      <c r="D253" s="26">
        <f t="shared" si="147"/>
        <v>-1459</v>
      </c>
      <c r="E253" s="117"/>
      <c r="F253" s="117"/>
      <c r="G253" s="19">
        <f t="shared" si="148"/>
        <v>-1459</v>
      </c>
      <c r="H253" s="106"/>
      <c r="I253" s="107"/>
      <c r="J253" s="26">
        <f t="shared" si="149"/>
        <v>-1459</v>
      </c>
      <c r="K253" s="117"/>
      <c r="L253" s="117"/>
      <c r="M253" s="38">
        <f t="shared" si="150"/>
        <v>-1459</v>
      </c>
      <c r="N253" s="106"/>
      <c r="O253" s="107"/>
      <c r="P253" s="26">
        <f t="shared" si="151"/>
        <v>-1459</v>
      </c>
      <c r="Q253" s="117"/>
      <c r="R253" s="117"/>
      <c r="S253" s="38">
        <f t="shared" si="152"/>
        <v>-1459</v>
      </c>
      <c r="T253" s="106"/>
      <c r="U253" s="116"/>
      <c r="V253" s="20">
        <f t="shared" si="153"/>
        <v>-1459</v>
      </c>
      <c r="W253" s="143"/>
    </row>
    <row r="254" spans="1:23" ht="15.75" customHeight="1">
      <c r="A254" s="114"/>
      <c r="B254" s="106"/>
      <c r="C254" s="107"/>
      <c r="D254" s="26">
        <f t="shared" si="147"/>
        <v>-1459</v>
      </c>
      <c r="E254" s="117"/>
      <c r="F254" s="117"/>
      <c r="G254" s="19">
        <f t="shared" si="148"/>
        <v>-1459</v>
      </c>
      <c r="H254" s="106"/>
      <c r="I254" s="107"/>
      <c r="J254" s="26">
        <f t="shared" si="149"/>
        <v>-1459</v>
      </c>
      <c r="K254" s="117"/>
      <c r="L254" s="117"/>
      <c r="M254" s="38">
        <f t="shared" si="150"/>
        <v>-1459</v>
      </c>
      <c r="N254" s="106"/>
      <c r="O254" s="107"/>
      <c r="P254" s="26">
        <f t="shared" si="151"/>
        <v>-1459</v>
      </c>
      <c r="Q254" s="117"/>
      <c r="R254" s="117"/>
      <c r="S254" s="38">
        <f t="shared" si="152"/>
        <v>-1459</v>
      </c>
      <c r="T254" s="106"/>
      <c r="U254" s="116"/>
      <c r="V254" s="20">
        <f t="shared" si="153"/>
        <v>-1459</v>
      </c>
      <c r="W254" s="143"/>
    </row>
    <row r="255" spans="1:23" ht="15.75" customHeight="1">
      <c r="A255" s="114"/>
      <c r="B255" s="106"/>
      <c r="C255" s="107"/>
      <c r="D255" s="26">
        <f t="shared" si="147"/>
        <v>-1459</v>
      </c>
      <c r="E255" s="117"/>
      <c r="F255" s="117"/>
      <c r="G255" s="19">
        <f t="shared" si="148"/>
        <v>-1459</v>
      </c>
      <c r="H255" s="106"/>
      <c r="I255" s="107"/>
      <c r="J255" s="26">
        <f t="shared" si="149"/>
        <v>-1459</v>
      </c>
      <c r="K255" s="117"/>
      <c r="L255" s="117"/>
      <c r="M255" s="38">
        <f t="shared" si="150"/>
        <v>-1459</v>
      </c>
      <c r="N255" s="106"/>
      <c r="O255" s="107"/>
      <c r="P255" s="26">
        <f t="shared" si="151"/>
        <v>-1459</v>
      </c>
      <c r="Q255" s="117"/>
      <c r="R255" s="117"/>
      <c r="S255" s="38">
        <f t="shared" si="152"/>
        <v>-1459</v>
      </c>
      <c r="T255" s="106"/>
      <c r="U255" s="116"/>
      <c r="V255" s="20">
        <f t="shared" si="153"/>
        <v>-1459</v>
      </c>
      <c r="W255" s="143"/>
    </row>
    <row r="256" spans="1:23" ht="15.75" customHeight="1">
      <c r="A256" s="114"/>
      <c r="B256" s="122"/>
      <c r="C256" s="123"/>
      <c r="D256" s="26">
        <f t="shared" si="147"/>
        <v>-1459</v>
      </c>
      <c r="E256" s="117"/>
      <c r="F256" s="117"/>
      <c r="G256" s="19">
        <f t="shared" si="148"/>
        <v>-1459</v>
      </c>
      <c r="H256" s="122"/>
      <c r="I256" s="123"/>
      <c r="J256" s="26">
        <f t="shared" si="149"/>
        <v>-1459</v>
      </c>
      <c r="K256" s="117"/>
      <c r="L256" s="117"/>
      <c r="M256" s="38">
        <f t="shared" si="150"/>
        <v>-1459</v>
      </c>
      <c r="N256" s="106"/>
      <c r="O256" s="107"/>
      <c r="P256" s="26">
        <f t="shared" si="151"/>
        <v>-1459</v>
      </c>
      <c r="Q256" s="117"/>
      <c r="R256" s="117"/>
      <c r="S256" s="38">
        <f t="shared" si="152"/>
        <v>-1459</v>
      </c>
      <c r="T256" s="106"/>
      <c r="U256" s="116"/>
      <c r="V256" s="20">
        <f t="shared" si="153"/>
        <v>-1459</v>
      </c>
      <c r="W256" s="143"/>
    </row>
    <row r="257" spans="1:23" ht="15.75" customHeight="1">
      <c r="A257" s="114"/>
      <c r="B257" s="122"/>
      <c r="C257" s="123"/>
      <c r="D257" s="26">
        <f t="shared" si="147"/>
        <v>-1459</v>
      </c>
      <c r="E257" s="117"/>
      <c r="F257" s="117"/>
      <c r="G257" s="19">
        <f t="shared" si="148"/>
        <v>-1459</v>
      </c>
      <c r="H257" s="122"/>
      <c r="I257" s="123"/>
      <c r="J257" s="26">
        <f t="shared" si="149"/>
        <v>-1459</v>
      </c>
      <c r="K257" s="117"/>
      <c r="L257" s="117"/>
      <c r="M257" s="38">
        <f t="shared" si="150"/>
        <v>-1459</v>
      </c>
      <c r="N257" s="122"/>
      <c r="O257" s="123"/>
      <c r="P257" s="26">
        <f t="shared" si="151"/>
        <v>-1459</v>
      </c>
      <c r="Q257" s="117"/>
      <c r="R257" s="117"/>
      <c r="S257" s="38">
        <f t="shared" si="152"/>
        <v>-1459</v>
      </c>
      <c r="T257" s="122"/>
      <c r="U257" s="124"/>
      <c r="V257" s="20">
        <f t="shared" si="153"/>
        <v>-1459</v>
      </c>
      <c r="W257" s="143"/>
    </row>
    <row r="258" spans="1:23" ht="15.75" customHeight="1">
      <c r="A258" s="114"/>
      <c r="B258" s="122"/>
      <c r="C258" s="123"/>
      <c r="D258" s="39">
        <f t="shared" si="147"/>
        <v>-1459</v>
      </c>
      <c r="E258" s="128"/>
      <c r="F258" s="128"/>
      <c r="G258" s="29">
        <f t="shared" si="148"/>
        <v>-1459</v>
      </c>
      <c r="H258" s="122"/>
      <c r="I258" s="123"/>
      <c r="J258" s="39">
        <f t="shared" si="149"/>
        <v>-1459</v>
      </c>
      <c r="K258" s="128"/>
      <c r="L258" s="128"/>
      <c r="M258" s="40">
        <f t="shared" si="150"/>
        <v>-1459</v>
      </c>
      <c r="N258" s="122"/>
      <c r="O258" s="123"/>
      <c r="P258" s="39">
        <f t="shared" si="151"/>
        <v>-1459</v>
      </c>
      <c r="Q258" s="128"/>
      <c r="R258" s="128"/>
      <c r="S258" s="40">
        <f t="shared" si="152"/>
        <v>-1459</v>
      </c>
      <c r="T258" s="122"/>
      <c r="U258" s="123"/>
      <c r="V258" s="49">
        <f t="shared" si="153"/>
        <v>-1459</v>
      </c>
      <c r="W258" s="143"/>
    </row>
    <row r="259" spans="1:23" ht="15.75" customHeight="1">
      <c r="A259" s="87"/>
      <c r="B259" s="77">
        <f ca="1">IFERROR(__xludf.DUMMYFUNCTION("DATE(VALUE(LEFT($B$2,4)),VALUE(MID($B$2,6,2)),VALUE(RIGHT($B$2,2)))
+ (VALUE(REGEXEXTRACT(INDIRECT(""A""&amp;ROW()+1),""\d+""))-1)*7
+ INT((COLUMN()-COLUMN($B259))/3)
"),47636)</f>
        <v>47636</v>
      </c>
      <c r="C259" s="81"/>
      <c r="D259" s="82"/>
      <c r="E259" s="77">
        <f ca="1">IFERROR(__xludf.DUMMYFUNCTION("DATE(VALUE(LEFT($B$2,4)),VALUE(MID($B$2,6,2)),VALUE(RIGHT($B$2,2)))
+ (VALUE(REGEXEXTRACT(INDIRECT(""A""&amp;ROW()+1),""\d+""))-1)*7
+ INT((COLUMN()-COLUMN($B259))/3)
"),47637)</f>
        <v>47637</v>
      </c>
      <c r="F259" s="81"/>
      <c r="G259" s="82"/>
      <c r="H259" s="77">
        <f ca="1">IFERROR(__xludf.DUMMYFUNCTION("DATE(VALUE(LEFT($B$2,4)),VALUE(MID($B$2,6,2)),VALUE(RIGHT($B$2,2)))
+ (VALUE(REGEXEXTRACT(INDIRECT(""A""&amp;ROW()+1),""\d+""))-1)*7
+ INT((COLUMN()-COLUMN($B259))/3)
"),47638)</f>
        <v>47638</v>
      </c>
      <c r="I259" s="81"/>
      <c r="J259" s="82"/>
      <c r="K259" s="77">
        <f ca="1">IFERROR(__xludf.DUMMYFUNCTION("DATE(VALUE(LEFT($B$2,4)),VALUE(MID($B$2,6,2)),VALUE(RIGHT($B$2,2)))
+ (VALUE(REGEXEXTRACT(INDIRECT(""A""&amp;ROW()+1),""\d+""))-1)*7
+ INT((COLUMN()-COLUMN($B259))/3)
"),47639)</f>
        <v>47639</v>
      </c>
      <c r="L259" s="81"/>
      <c r="M259" s="82"/>
      <c r="N259" s="77">
        <f ca="1">IFERROR(__xludf.DUMMYFUNCTION("DATE(VALUE(LEFT($B$2,4)),VALUE(MID($B$2,6,2)),VALUE(RIGHT($B$2,2)))
+ (VALUE(REGEXEXTRACT(INDIRECT(""A""&amp;ROW()+1),""\d+""))-1)*7
+ INT((COLUMN()-COLUMN($B259))/3)
"),47640)</f>
        <v>47640</v>
      </c>
      <c r="O259" s="81"/>
      <c r="P259" s="82"/>
      <c r="Q259" s="77">
        <f ca="1">IFERROR(__xludf.DUMMYFUNCTION("DATE(VALUE(LEFT($B$2,4)),VALUE(MID($B$2,6,2)),VALUE(RIGHT($B$2,2)))
+ (VALUE(REGEXEXTRACT(INDIRECT(""A""&amp;ROW()+1),""\d+""))-1)*7
+ INT((COLUMN()-COLUMN($B259))/3)
"),47641)</f>
        <v>47641</v>
      </c>
      <c r="R259" s="81"/>
      <c r="S259" s="82"/>
      <c r="T259" s="77">
        <f ca="1">IFERROR(__xludf.DUMMYFUNCTION("DATE(VALUE(LEFT($B$2,4)),VALUE(MID($B$2,6,2)),VALUE(RIGHT($B$2,2)))
+ (VALUE(REGEXEXTRACT(INDIRECT(""A""&amp;ROW()+1),""\d+""))-1)*7
+ INT((COLUMN()-COLUMN($B259))/3)
"),47642)</f>
        <v>47642</v>
      </c>
      <c r="U259" s="81"/>
      <c r="V259" s="82"/>
      <c r="W259" s="52" t="s">
        <v>20</v>
      </c>
    </row>
    <row r="260" spans="1:23" ht="15.75" customHeight="1">
      <c r="A260" s="47" t="s">
        <v>106</v>
      </c>
      <c r="B260" s="109"/>
      <c r="C260" s="109"/>
      <c r="D260" s="42">
        <f>V258+C260</f>
        <v>-1459</v>
      </c>
      <c r="E260" s="112"/>
      <c r="F260" s="111"/>
      <c r="G260" s="48">
        <f>D270+F260</f>
        <v>-1459</v>
      </c>
      <c r="H260" s="149"/>
      <c r="I260" s="150"/>
      <c r="J260" s="54">
        <f>G270+I260</f>
        <v>-1459</v>
      </c>
      <c r="K260" s="110"/>
      <c r="L260" s="111"/>
      <c r="M260" s="18">
        <f>J270+L260</f>
        <v>-1459</v>
      </c>
      <c r="N260" s="113"/>
      <c r="O260" s="109"/>
      <c r="P260" s="35">
        <f>M270+O260</f>
        <v>-1459</v>
      </c>
      <c r="Q260" s="112"/>
      <c r="R260" s="111"/>
      <c r="S260" s="18">
        <f>P270+R260</f>
        <v>-1459</v>
      </c>
      <c r="T260" s="113"/>
      <c r="U260" s="109"/>
      <c r="V260" s="50">
        <f>S270+U260</f>
        <v>-1459</v>
      </c>
      <c r="W260" s="172"/>
    </row>
    <row r="261" spans="1:23" ht="15.75" customHeight="1">
      <c r="A261" s="114"/>
      <c r="B261" s="117"/>
      <c r="C261" s="117"/>
      <c r="D261" s="19">
        <f t="shared" ref="D261:D270" si="154">D260+C261</f>
        <v>-1459</v>
      </c>
      <c r="E261" s="116"/>
      <c r="F261" s="107"/>
      <c r="G261" s="20">
        <f t="shared" ref="G261:G270" si="155">G260+F261</f>
        <v>-1459</v>
      </c>
      <c r="H261" s="118"/>
      <c r="I261" s="117"/>
      <c r="J261" s="19">
        <f t="shared" ref="J261:J270" si="156">J260+I261</f>
        <v>-1459</v>
      </c>
      <c r="K261" s="116"/>
      <c r="L261" s="107"/>
      <c r="M261" s="26">
        <f t="shared" ref="M261:M270" si="157">M260+L261</f>
        <v>-1459</v>
      </c>
      <c r="N261" s="118"/>
      <c r="O261" s="117"/>
      <c r="P261" s="38">
        <f t="shared" ref="P261:P270" si="158">P260+O261</f>
        <v>-1459</v>
      </c>
      <c r="Q261" s="106"/>
      <c r="R261" s="107"/>
      <c r="S261" s="26">
        <f t="shared" ref="S261:S270" si="159">S260+R261</f>
        <v>-1459</v>
      </c>
      <c r="T261" s="136"/>
      <c r="U261" s="136"/>
      <c r="V261" s="45">
        <f t="shared" ref="V261:V270" si="160">V260+U261</f>
        <v>-1459</v>
      </c>
      <c r="W261" s="143"/>
    </row>
    <row r="262" spans="1:23" ht="15.75" customHeight="1">
      <c r="A262" s="114"/>
      <c r="B262" s="117"/>
      <c r="C262" s="117"/>
      <c r="D262" s="19">
        <f t="shared" si="154"/>
        <v>-1459</v>
      </c>
      <c r="E262" s="116"/>
      <c r="F262" s="107"/>
      <c r="G262" s="20">
        <f t="shared" si="155"/>
        <v>-1459</v>
      </c>
      <c r="H262" s="118"/>
      <c r="I262" s="117"/>
      <c r="J262" s="19">
        <f t="shared" si="156"/>
        <v>-1459</v>
      </c>
      <c r="K262" s="116"/>
      <c r="L262" s="107"/>
      <c r="M262" s="26">
        <f t="shared" si="157"/>
        <v>-1459</v>
      </c>
      <c r="N262" s="117"/>
      <c r="O262" s="117"/>
      <c r="P262" s="38">
        <f t="shared" si="158"/>
        <v>-1459</v>
      </c>
      <c r="Q262" s="106"/>
      <c r="R262" s="107"/>
      <c r="S262" s="26">
        <f t="shared" si="159"/>
        <v>-1459</v>
      </c>
      <c r="T262" s="136"/>
      <c r="U262" s="136"/>
      <c r="V262" s="45">
        <f t="shared" si="160"/>
        <v>-1459</v>
      </c>
      <c r="W262" s="143"/>
    </row>
    <row r="263" spans="1:23" ht="15.75" customHeight="1">
      <c r="A263" s="114"/>
      <c r="B263" s="117"/>
      <c r="C263" s="117"/>
      <c r="D263" s="19">
        <f t="shared" si="154"/>
        <v>-1459</v>
      </c>
      <c r="E263" s="116"/>
      <c r="F263" s="107"/>
      <c r="G263" s="20">
        <f t="shared" si="155"/>
        <v>-1459</v>
      </c>
      <c r="H263" s="118"/>
      <c r="I263" s="117"/>
      <c r="J263" s="19">
        <f t="shared" si="156"/>
        <v>-1459</v>
      </c>
      <c r="K263" s="116"/>
      <c r="L263" s="107"/>
      <c r="M263" s="26">
        <f t="shared" si="157"/>
        <v>-1459</v>
      </c>
      <c r="N263" s="117"/>
      <c r="O263" s="117"/>
      <c r="P263" s="38">
        <f t="shared" si="158"/>
        <v>-1459</v>
      </c>
      <c r="Q263" s="106"/>
      <c r="R263" s="107"/>
      <c r="S263" s="26">
        <f t="shared" si="159"/>
        <v>-1459</v>
      </c>
      <c r="T263" s="136"/>
      <c r="U263" s="136"/>
      <c r="V263" s="45">
        <f t="shared" si="160"/>
        <v>-1459</v>
      </c>
      <c r="W263" s="143"/>
    </row>
    <row r="264" spans="1:23" ht="15.75" customHeight="1">
      <c r="A264" s="114"/>
      <c r="B264" s="117"/>
      <c r="C264" s="117"/>
      <c r="D264" s="19">
        <f t="shared" si="154"/>
        <v>-1459</v>
      </c>
      <c r="E264" s="116"/>
      <c r="F264" s="107"/>
      <c r="G264" s="20">
        <f t="shared" si="155"/>
        <v>-1459</v>
      </c>
      <c r="H264" s="118"/>
      <c r="I264" s="117"/>
      <c r="J264" s="19">
        <f t="shared" si="156"/>
        <v>-1459</v>
      </c>
      <c r="K264" s="116"/>
      <c r="L264" s="107"/>
      <c r="M264" s="26">
        <f t="shared" si="157"/>
        <v>-1459</v>
      </c>
      <c r="N264" s="117"/>
      <c r="O264" s="117"/>
      <c r="P264" s="38">
        <f t="shared" si="158"/>
        <v>-1459</v>
      </c>
      <c r="Q264" s="106"/>
      <c r="R264" s="107"/>
      <c r="S264" s="26">
        <f t="shared" si="159"/>
        <v>-1459</v>
      </c>
      <c r="T264" s="136"/>
      <c r="U264" s="136"/>
      <c r="V264" s="45">
        <f t="shared" si="160"/>
        <v>-1459</v>
      </c>
      <c r="W264" s="143"/>
    </row>
    <row r="265" spans="1:23" ht="15.75" customHeight="1">
      <c r="A265" s="114"/>
      <c r="B265" s="118"/>
      <c r="C265" s="117"/>
      <c r="D265" s="19">
        <f t="shared" si="154"/>
        <v>-1459</v>
      </c>
      <c r="E265" s="116"/>
      <c r="F265" s="107"/>
      <c r="G265" s="20">
        <f t="shared" si="155"/>
        <v>-1459</v>
      </c>
      <c r="H265" s="118"/>
      <c r="I265" s="117"/>
      <c r="J265" s="19">
        <f t="shared" si="156"/>
        <v>-1459</v>
      </c>
      <c r="K265" s="116"/>
      <c r="L265" s="107"/>
      <c r="M265" s="26">
        <f t="shared" si="157"/>
        <v>-1459</v>
      </c>
      <c r="N265" s="117"/>
      <c r="O265" s="117"/>
      <c r="P265" s="38">
        <f t="shared" si="158"/>
        <v>-1459</v>
      </c>
      <c r="Q265" s="106"/>
      <c r="R265" s="107"/>
      <c r="S265" s="26">
        <f t="shared" si="159"/>
        <v>-1459</v>
      </c>
      <c r="T265" s="136"/>
      <c r="U265" s="136"/>
      <c r="V265" s="45">
        <f t="shared" si="160"/>
        <v>-1459</v>
      </c>
      <c r="W265" s="143"/>
    </row>
    <row r="266" spans="1:23" ht="15.75" customHeight="1">
      <c r="A266" s="114"/>
      <c r="B266" s="117"/>
      <c r="C266" s="117"/>
      <c r="D266" s="19">
        <f t="shared" si="154"/>
        <v>-1459</v>
      </c>
      <c r="E266" s="106"/>
      <c r="F266" s="107"/>
      <c r="G266" s="20">
        <f t="shared" si="155"/>
        <v>-1459</v>
      </c>
      <c r="H266" s="118"/>
      <c r="I266" s="117"/>
      <c r="J266" s="19">
        <f t="shared" si="156"/>
        <v>-1459</v>
      </c>
      <c r="K266" s="116"/>
      <c r="L266" s="107"/>
      <c r="M266" s="26">
        <f t="shared" si="157"/>
        <v>-1459</v>
      </c>
      <c r="N266" s="117"/>
      <c r="O266" s="117"/>
      <c r="P266" s="38">
        <f t="shared" si="158"/>
        <v>-1459</v>
      </c>
      <c r="Q266" s="106"/>
      <c r="R266" s="107"/>
      <c r="S266" s="26">
        <f t="shared" si="159"/>
        <v>-1459</v>
      </c>
      <c r="T266" s="136"/>
      <c r="U266" s="136"/>
      <c r="V266" s="45">
        <f t="shared" si="160"/>
        <v>-1459</v>
      </c>
      <c r="W266" s="143"/>
    </row>
    <row r="267" spans="1:23" ht="15.75" customHeight="1">
      <c r="A267" s="114"/>
      <c r="B267" s="117"/>
      <c r="C267" s="117"/>
      <c r="D267" s="19">
        <f t="shared" si="154"/>
        <v>-1459</v>
      </c>
      <c r="E267" s="106"/>
      <c r="F267" s="107"/>
      <c r="G267" s="20">
        <f t="shared" si="155"/>
        <v>-1459</v>
      </c>
      <c r="H267" s="118"/>
      <c r="I267" s="117"/>
      <c r="J267" s="19">
        <f t="shared" si="156"/>
        <v>-1459</v>
      </c>
      <c r="K267" s="116"/>
      <c r="L267" s="107"/>
      <c r="M267" s="26">
        <f t="shared" si="157"/>
        <v>-1459</v>
      </c>
      <c r="N267" s="117"/>
      <c r="O267" s="117"/>
      <c r="P267" s="38">
        <f t="shared" si="158"/>
        <v>-1459</v>
      </c>
      <c r="Q267" s="106"/>
      <c r="R267" s="107"/>
      <c r="S267" s="26">
        <f t="shared" si="159"/>
        <v>-1459</v>
      </c>
      <c r="T267" s="136"/>
      <c r="U267" s="136"/>
      <c r="V267" s="45">
        <f t="shared" si="160"/>
        <v>-1459</v>
      </c>
      <c r="W267" s="143"/>
    </row>
    <row r="268" spans="1:23" ht="15.75" customHeight="1">
      <c r="A268" s="114"/>
      <c r="B268" s="117"/>
      <c r="C268" s="117"/>
      <c r="D268" s="19">
        <f t="shared" si="154"/>
        <v>-1459</v>
      </c>
      <c r="E268" s="106"/>
      <c r="F268" s="107"/>
      <c r="G268" s="20">
        <f t="shared" si="155"/>
        <v>-1459</v>
      </c>
      <c r="H268" s="118"/>
      <c r="I268" s="117"/>
      <c r="J268" s="19">
        <f t="shared" si="156"/>
        <v>-1459</v>
      </c>
      <c r="K268" s="116"/>
      <c r="L268" s="107"/>
      <c r="M268" s="26">
        <f t="shared" si="157"/>
        <v>-1459</v>
      </c>
      <c r="N268" s="117"/>
      <c r="O268" s="117"/>
      <c r="P268" s="38">
        <f t="shared" si="158"/>
        <v>-1459</v>
      </c>
      <c r="Q268" s="106"/>
      <c r="R268" s="107"/>
      <c r="S268" s="26">
        <f t="shared" si="159"/>
        <v>-1459</v>
      </c>
      <c r="T268" s="136"/>
      <c r="U268" s="136"/>
      <c r="V268" s="45">
        <f t="shared" si="160"/>
        <v>-1459</v>
      </c>
      <c r="W268" s="143"/>
    </row>
    <row r="269" spans="1:23" ht="15.75" customHeight="1">
      <c r="A269" s="114"/>
      <c r="B269" s="117"/>
      <c r="C269" s="117"/>
      <c r="D269" s="19">
        <f t="shared" si="154"/>
        <v>-1459</v>
      </c>
      <c r="E269" s="122"/>
      <c r="F269" s="123"/>
      <c r="G269" s="20">
        <f t="shared" si="155"/>
        <v>-1459</v>
      </c>
      <c r="H269" s="118"/>
      <c r="I269" s="117"/>
      <c r="J269" s="19">
        <f t="shared" si="156"/>
        <v>-1459</v>
      </c>
      <c r="K269" s="124"/>
      <c r="L269" s="123"/>
      <c r="M269" s="26">
        <f t="shared" si="157"/>
        <v>-1459</v>
      </c>
      <c r="N269" s="117"/>
      <c r="O269" s="117"/>
      <c r="P269" s="38">
        <f t="shared" si="158"/>
        <v>-1459</v>
      </c>
      <c r="Q269" s="122"/>
      <c r="R269" s="123"/>
      <c r="S269" s="26">
        <f t="shared" si="159"/>
        <v>-1459</v>
      </c>
      <c r="T269" s="136"/>
      <c r="U269" s="136"/>
      <c r="V269" s="45">
        <f t="shared" si="160"/>
        <v>-1459</v>
      </c>
      <c r="W269" s="143"/>
    </row>
    <row r="270" spans="1:23" ht="15.75" customHeight="1">
      <c r="A270" s="114"/>
      <c r="B270" s="128"/>
      <c r="C270" s="128"/>
      <c r="D270" s="29">
        <f t="shared" si="154"/>
        <v>-1459</v>
      </c>
      <c r="E270" s="122"/>
      <c r="F270" s="123"/>
      <c r="G270" s="49">
        <f t="shared" si="155"/>
        <v>-1459</v>
      </c>
      <c r="H270" s="154"/>
      <c r="I270" s="128"/>
      <c r="J270" s="29">
        <f t="shared" si="156"/>
        <v>-1459</v>
      </c>
      <c r="K270" s="124"/>
      <c r="L270" s="123"/>
      <c r="M270" s="39">
        <f t="shared" si="157"/>
        <v>-1459</v>
      </c>
      <c r="N270" s="128"/>
      <c r="O270" s="128"/>
      <c r="P270" s="40">
        <f t="shared" si="158"/>
        <v>-1459</v>
      </c>
      <c r="Q270" s="122"/>
      <c r="R270" s="123"/>
      <c r="S270" s="39">
        <f t="shared" si="159"/>
        <v>-1459</v>
      </c>
      <c r="T270" s="141"/>
      <c r="U270" s="141"/>
      <c r="V270" s="46">
        <f t="shared" si="160"/>
        <v>-1459</v>
      </c>
      <c r="W270" s="143"/>
    </row>
    <row r="271" spans="1:23" ht="15.75" customHeight="1">
      <c r="A271" s="87"/>
      <c r="B271" s="77">
        <f ca="1">IFERROR(__xludf.DUMMYFUNCTION("DATE(VALUE(LEFT($B$2,4)),VALUE(MID($B$2,6,2)),VALUE(RIGHT($B$2,2)))
+ (VALUE(REGEXEXTRACT(INDIRECT(""A""&amp;ROW()+1),""\d+""))-1)*7
+ INT((COLUMN()-COLUMN($B271))/3)
"),47643)</f>
        <v>47643</v>
      </c>
      <c r="C271" s="81"/>
      <c r="D271" s="82"/>
      <c r="E271" s="77">
        <f ca="1">IFERROR(__xludf.DUMMYFUNCTION("DATE(VALUE(LEFT($B$2,4)),VALUE(MID($B$2,6,2)),VALUE(RIGHT($B$2,2)))
+ (VALUE(REGEXEXTRACT(INDIRECT(""A""&amp;ROW()+1),""\d+""))-1)*7
+ INT((COLUMN()-COLUMN($B271))/3)
"),47644)</f>
        <v>47644</v>
      </c>
      <c r="F271" s="81"/>
      <c r="G271" s="82"/>
      <c r="H271" s="77">
        <f ca="1">IFERROR(__xludf.DUMMYFUNCTION("DATE(VALUE(LEFT($B$2,4)),VALUE(MID($B$2,6,2)),VALUE(RIGHT($B$2,2)))
+ (VALUE(REGEXEXTRACT(INDIRECT(""A""&amp;ROW()+1),""\d+""))-1)*7
+ INT((COLUMN()-COLUMN($B271))/3)
"),47645)</f>
        <v>47645</v>
      </c>
      <c r="I271" s="81"/>
      <c r="J271" s="82"/>
      <c r="K271" s="77">
        <f ca="1">IFERROR(__xludf.DUMMYFUNCTION("DATE(VALUE(LEFT($B$2,4)),VALUE(MID($B$2,6,2)),VALUE(RIGHT($B$2,2)))
+ (VALUE(REGEXEXTRACT(INDIRECT(""A""&amp;ROW()+1),""\d+""))-1)*7
+ INT((COLUMN()-COLUMN($B271))/3)
"),47646)</f>
        <v>47646</v>
      </c>
      <c r="L271" s="81"/>
      <c r="M271" s="82"/>
      <c r="N271" s="77">
        <f ca="1">IFERROR(__xludf.DUMMYFUNCTION("DATE(VALUE(LEFT($B$2,4)),VALUE(MID($B$2,6,2)),VALUE(RIGHT($B$2,2)))
+ (VALUE(REGEXEXTRACT(INDIRECT(""A""&amp;ROW()+1),""\d+""))-1)*7
+ INT((COLUMN()-COLUMN($B271))/3)
"),47647)</f>
        <v>47647</v>
      </c>
      <c r="O271" s="81"/>
      <c r="P271" s="82"/>
      <c r="Q271" s="77">
        <f ca="1">IFERROR(__xludf.DUMMYFUNCTION("DATE(VALUE(LEFT($B$2,4)),VALUE(MID($B$2,6,2)),VALUE(RIGHT($B$2,2)))
+ (VALUE(REGEXEXTRACT(INDIRECT(""A""&amp;ROW()+1),""\d+""))-1)*7
+ INT((COLUMN()-COLUMN($B271))/3)
"),47648)</f>
        <v>47648</v>
      </c>
      <c r="R271" s="81"/>
      <c r="S271" s="82"/>
      <c r="T271" s="77">
        <f ca="1">IFERROR(__xludf.DUMMYFUNCTION("DATE(VALUE(LEFT($B$2,4)),VALUE(MID($B$2,6,2)),VALUE(RIGHT($B$2,2)))
+ (VALUE(REGEXEXTRACT(INDIRECT(""A""&amp;ROW()+1),""\d+""))-1)*7
+ INT((COLUMN()-COLUMN($B271))/3)
"),47649)</f>
        <v>47649</v>
      </c>
      <c r="U271" s="81"/>
      <c r="V271" s="82"/>
      <c r="W271" s="143"/>
    </row>
    <row r="272" spans="1:23" ht="15.75" customHeight="1">
      <c r="A272" s="51" t="s">
        <v>118</v>
      </c>
      <c r="B272" s="112"/>
      <c r="C272" s="111"/>
      <c r="D272" s="17">
        <f>V270+C272</f>
        <v>-1459</v>
      </c>
      <c r="E272" s="109"/>
      <c r="F272" s="109"/>
      <c r="G272" s="50">
        <f>D282+F272</f>
        <v>-1459</v>
      </c>
      <c r="H272" s="112"/>
      <c r="I272" s="111"/>
      <c r="J272" s="17">
        <f>G282+I272</f>
        <v>-1459</v>
      </c>
      <c r="K272" s="132"/>
      <c r="L272" s="109"/>
      <c r="M272" s="56">
        <f>J282+L272</f>
        <v>-1459</v>
      </c>
      <c r="N272" s="110"/>
      <c r="O272" s="111"/>
      <c r="P272" s="17">
        <f>M282+O272</f>
        <v>-1459</v>
      </c>
      <c r="Q272" s="109"/>
      <c r="R272" s="109"/>
      <c r="S272" s="35">
        <f>P282+R272</f>
        <v>-1459</v>
      </c>
      <c r="T272" s="112"/>
      <c r="U272" s="111"/>
      <c r="V272" s="48">
        <f>S282+U272</f>
        <v>-1459</v>
      </c>
      <c r="W272" s="143"/>
    </row>
    <row r="273" spans="1:23" ht="15.75" customHeight="1">
      <c r="A273" s="114"/>
      <c r="B273" s="106"/>
      <c r="C273" s="107"/>
      <c r="D273" s="26">
        <f t="shared" ref="D273:D282" si="161">D272+C273</f>
        <v>-1459</v>
      </c>
      <c r="E273" s="117"/>
      <c r="F273" s="117"/>
      <c r="G273" s="45">
        <f t="shared" ref="G273:G282" si="162">G272+F273</f>
        <v>-1459</v>
      </c>
      <c r="H273" s="106"/>
      <c r="I273" s="107"/>
      <c r="J273" s="26">
        <f t="shared" ref="J273:J282" si="163">J272+I273</f>
        <v>-1459</v>
      </c>
      <c r="K273" s="133"/>
      <c r="L273" s="117"/>
      <c r="M273" s="57">
        <f t="shared" ref="M273:M282" si="164">M272+L273</f>
        <v>-1459</v>
      </c>
      <c r="N273" s="116"/>
      <c r="O273" s="107"/>
      <c r="P273" s="26">
        <f t="shared" ref="P273:P282" si="165">P272+O273</f>
        <v>-1459</v>
      </c>
      <c r="Q273" s="117"/>
      <c r="R273" s="117"/>
      <c r="S273" s="19">
        <f t="shared" ref="S273:S282" si="166">S272+R273</f>
        <v>-1459</v>
      </c>
      <c r="T273" s="116"/>
      <c r="U273" s="107"/>
      <c r="V273" s="20">
        <f t="shared" ref="V273:V282" si="167">V272+U273</f>
        <v>-1459</v>
      </c>
      <c r="W273" s="143"/>
    </row>
    <row r="274" spans="1:23" ht="15.75" customHeight="1">
      <c r="A274" s="114"/>
      <c r="B274" s="106"/>
      <c r="C274" s="107"/>
      <c r="D274" s="26">
        <f t="shared" si="161"/>
        <v>-1459</v>
      </c>
      <c r="E274" s="117"/>
      <c r="F274" s="117"/>
      <c r="G274" s="45">
        <f t="shared" si="162"/>
        <v>-1459</v>
      </c>
      <c r="H274" s="106"/>
      <c r="I274" s="107"/>
      <c r="J274" s="26">
        <f t="shared" si="163"/>
        <v>-1459</v>
      </c>
      <c r="K274" s="133"/>
      <c r="L274" s="117"/>
      <c r="M274" s="57">
        <f t="shared" si="164"/>
        <v>-1459</v>
      </c>
      <c r="N274" s="116"/>
      <c r="O274" s="107"/>
      <c r="P274" s="26">
        <f t="shared" si="165"/>
        <v>-1459</v>
      </c>
      <c r="Q274" s="117"/>
      <c r="R274" s="117"/>
      <c r="S274" s="19">
        <f t="shared" si="166"/>
        <v>-1459</v>
      </c>
      <c r="T274" s="116"/>
      <c r="U274" s="116"/>
      <c r="V274" s="20">
        <f t="shared" si="167"/>
        <v>-1459</v>
      </c>
      <c r="W274" s="143"/>
    </row>
    <row r="275" spans="1:23" ht="15.75" customHeight="1">
      <c r="A275" s="114"/>
      <c r="B275" s="106"/>
      <c r="C275" s="107"/>
      <c r="D275" s="26">
        <f t="shared" si="161"/>
        <v>-1459</v>
      </c>
      <c r="E275" s="117"/>
      <c r="F275" s="117"/>
      <c r="G275" s="45">
        <f t="shared" si="162"/>
        <v>-1459</v>
      </c>
      <c r="H275" s="106"/>
      <c r="I275" s="107"/>
      <c r="J275" s="26">
        <f t="shared" si="163"/>
        <v>-1459</v>
      </c>
      <c r="K275" s="133"/>
      <c r="L275" s="117"/>
      <c r="M275" s="57">
        <f t="shared" si="164"/>
        <v>-1459</v>
      </c>
      <c r="N275" s="116"/>
      <c r="O275" s="107"/>
      <c r="P275" s="26">
        <f t="shared" si="165"/>
        <v>-1459</v>
      </c>
      <c r="Q275" s="117"/>
      <c r="R275" s="117"/>
      <c r="S275" s="19">
        <f t="shared" si="166"/>
        <v>-1459</v>
      </c>
      <c r="T275" s="116"/>
      <c r="U275" s="116"/>
      <c r="V275" s="20">
        <f t="shared" si="167"/>
        <v>-1459</v>
      </c>
      <c r="W275" s="143"/>
    </row>
    <row r="276" spans="1:23" ht="15.75" customHeight="1">
      <c r="A276" s="114"/>
      <c r="B276" s="106"/>
      <c r="C276" s="107"/>
      <c r="D276" s="26">
        <f t="shared" si="161"/>
        <v>-1459</v>
      </c>
      <c r="E276" s="117"/>
      <c r="F276" s="117"/>
      <c r="G276" s="45">
        <f t="shared" si="162"/>
        <v>-1459</v>
      </c>
      <c r="H276" s="106"/>
      <c r="I276" s="107"/>
      <c r="J276" s="26">
        <f t="shared" si="163"/>
        <v>-1459</v>
      </c>
      <c r="K276" s="133"/>
      <c r="L276" s="117"/>
      <c r="M276" s="57">
        <f t="shared" si="164"/>
        <v>-1459</v>
      </c>
      <c r="N276" s="116"/>
      <c r="O276" s="107"/>
      <c r="P276" s="26">
        <f t="shared" si="165"/>
        <v>-1459</v>
      </c>
      <c r="Q276" s="117"/>
      <c r="R276" s="117"/>
      <c r="S276" s="19">
        <f t="shared" si="166"/>
        <v>-1459</v>
      </c>
      <c r="T276" s="116"/>
      <c r="U276" s="116"/>
      <c r="V276" s="20">
        <f t="shared" si="167"/>
        <v>-1459</v>
      </c>
      <c r="W276" s="143"/>
    </row>
    <row r="277" spans="1:23" ht="15.75" customHeight="1">
      <c r="A277" s="114"/>
      <c r="B277" s="106"/>
      <c r="C277" s="107"/>
      <c r="D277" s="26">
        <f t="shared" si="161"/>
        <v>-1459</v>
      </c>
      <c r="E277" s="117"/>
      <c r="F277" s="117"/>
      <c r="G277" s="45">
        <f t="shared" si="162"/>
        <v>-1459</v>
      </c>
      <c r="H277" s="106"/>
      <c r="I277" s="107"/>
      <c r="J277" s="26">
        <f t="shared" si="163"/>
        <v>-1459</v>
      </c>
      <c r="K277" s="133"/>
      <c r="L277" s="117"/>
      <c r="M277" s="57">
        <f t="shared" si="164"/>
        <v>-1459</v>
      </c>
      <c r="N277" s="116"/>
      <c r="O277" s="107"/>
      <c r="P277" s="26">
        <f t="shared" si="165"/>
        <v>-1459</v>
      </c>
      <c r="Q277" s="117"/>
      <c r="R277" s="117"/>
      <c r="S277" s="19">
        <f t="shared" si="166"/>
        <v>-1459</v>
      </c>
      <c r="T277" s="116"/>
      <c r="U277" s="116"/>
      <c r="V277" s="20">
        <f t="shared" si="167"/>
        <v>-1459</v>
      </c>
      <c r="W277" s="143"/>
    </row>
    <row r="278" spans="1:23" ht="15.75" customHeight="1">
      <c r="A278" s="114"/>
      <c r="B278" s="106"/>
      <c r="C278" s="107"/>
      <c r="D278" s="26">
        <f t="shared" si="161"/>
        <v>-1459</v>
      </c>
      <c r="E278" s="117"/>
      <c r="F278" s="117"/>
      <c r="G278" s="45">
        <f t="shared" si="162"/>
        <v>-1459</v>
      </c>
      <c r="H278" s="106"/>
      <c r="I278" s="107"/>
      <c r="J278" s="26">
        <f t="shared" si="163"/>
        <v>-1459</v>
      </c>
      <c r="K278" s="133"/>
      <c r="L278" s="117"/>
      <c r="M278" s="57">
        <f t="shared" si="164"/>
        <v>-1459</v>
      </c>
      <c r="N278" s="116"/>
      <c r="O278" s="107"/>
      <c r="P278" s="26">
        <f t="shared" si="165"/>
        <v>-1459</v>
      </c>
      <c r="Q278" s="117"/>
      <c r="R278" s="117"/>
      <c r="S278" s="19">
        <f t="shared" si="166"/>
        <v>-1459</v>
      </c>
      <c r="T278" s="116"/>
      <c r="U278" s="116"/>
      <c r="V278" s="20">
        <f t="shared" si="167"/>
        <v>-1459</v>
      </c>
      <c r="W278" s="143"/>
    </row>
    <row r="279" spans="1:23" ht="15.75" customHeight="1">
      <c r="A279" s="114"/>
      <c r="B279" s="106"/>
      <c r="C279" s="107"/>
      <c r="D279" s="26">
        <f t="shared" si="161"/>
        <v>-1459</v>
      </c>
      <c r="E279" s="117"/>
      <c r="F279" s="117"/>
      <c r="G279" s="45">
        <f t="shared" si="162"/>
        <v>-1459</v>
      </c>
      <c r="H279" s="106"/>
      <c r="I279" s="107"/>
      <c r="J279" s="26">
        <f t="shared" si="163"/>
        <v>-1459</v>
      </c>
      <c r="K279" s="133"/>
      <c r="L279" s="117"/>
      <c r="M279" s="57">
        <f t="shared" si="164"/>
        <v>-1459</v>
      </c>
      <c r="N279" s="116"/>
      <c r="O279" s="107"/>
      <c r="P279" s="26">
        <f t="shared" si="165"/>
        <v>-1459</v>
      </c>
      <c r="Q279" s="117"/>
      <c r="R279" s="117"/>
      <c r="S279" s="19">
        <f t="shared" si="166"/>
        <v>-1459</v>
      </c>
      <c r="T279" s="116"/>
      <c r="U279" s="116"/>
      <c r="V279" s="20">
        <f t="shared" si="167"/>
        <v>-1459</v>
      </c>
      <c r="W279" s="143"/>
    </row>
    <row r="280" spans="1:23" ht="15.75" customHeight="1">
      <c r="A280" s="114"/>
      <c r="B280" s="122"/>
      <c r="C280" s="123"/>
      <c r="D280" s="26">
        <f t="shared" si="161"/>
        <v>-1459</v>
      </c>
      <c r="E280" s="117"/>
      <c r="F280" s="117"/>
      <c r="G280" s="45">
        <f t="shared" si="162"/>
        <v>-1459</v>
      </c>
      <c r="H280" s="122"/>
      <c r="I280" s="123"/>
      <c r="J280" s="26">
        <f t="shared" si="163"/>
        <v>-1459</v>
      </c>
      <c r="K280" s="133"/>
      <c r="L280" s="117"/>
      <c r="M280" s="57">
        <f t="shared" si="164"/>
        <v>-1459</v>
      </c>
      <c r="N280" s="116"/>
      <c r="O280" s="107"/>
      <c r="P280" s="26">
        <f t="shared" si="165"/>
        <v>-1459</v>
      </c>
      <c r="Q280" s="117"/>
      <c r="R280" s="117"/>
      <c r="S280" s="19">
        <f t="shared" si="166"/>
        <v>-1459</v>
      </c>
      <c r="T280" s="116"/>
      <c r="U280" s="116"/>
      <c r="V280" s="20">
        <f t="shared" si="167"/>
        <v>-1459</v>
      </c>
      <c r="W280" s="143"/>
    </row>
    <row r="281" spans="1:23" ht="15.75" customHeight="1">
      <c r="A281" s="114"/>
      <c r="B281" s="122"/>
      <c r="C281" s="123"/>
      <c r="D281" s="26">
        <f t="shared" si="161"/>
        <v>-1459</v>
      </c>
      <c r="E281" s="117"/>
      <c r="F281" s="117"/>
      <c r="G281" s="45">
        <f t="shared" si="162"/>
        <v>-1459</v>
      </c>
      <c r="H281" s="122"/>
      <c r="I281" s="123"/>
      <c r="J281" s="26">
        <f t="shared" si="163"/>
        <v>-1459</v>
      </c>
      <c r="K281" s="133"/>
      <c r="L281" s="117"/>
      <c r="M281" s="57">
        <f t="shared" si="164"/>
        <v>-1459</v>
      </c>
      <c r="N281" s="116"/>
      <c r="O281" s="123"/>
      <c r="P281" s="26">
        <f t="shared" si="165"/>
        <v>-1459</v>
      </c>
      <c r="Q281" s="117"/>
      <c r="R281" s="117"/>
      <c r="S281" s="19">
        <f t="shared" si="166"/>
        <v>-1459</v>
      </c>
      <c r="T281" s="124"/>
      <c r="U281" s="124"/>
      <c r="V281" s="20">
        <f t="shared" si="167"/>
        <v>-1459</v>
      </c>
      <c r="W281" s="143"/>
    </row>
    <row r="282" spans="1:23" ht="15.75" customHeight="1">
      <c r="A282" s="114"/>
      <c r="B282" s="122"/>
      <c r="C282" s="123"/>
      <c r="D282" s="39">
        <f t="shared" si="161"/>
        <v>-1459</v>
      </c>
      <c r="E282" s="128"/>
      <c r="F282" s="128"/>
      <c r="G282" s="46">
        <f t="shared" si="162"/>
        <v>-1459</v>
      </c>
      <c r="H282" s="122"/>
      <c r="I282" s="123"/>
      <c r="J282" s="39">
        <f t="shared" si="163"/>
        <v>-1459</v>
      </c>
      <c r="K282" s="140"/>
      <c r="L282" s="128"/>
      <c r="M282" s="58">
        <f t="shared" si="164"/>
        <v>-1459</v>
      </c>
      <c r="N282" s="124"/>
      <c r="O282" s="123"/>
      <c r="P282" s="39">
        <f t="shared" si="165"/>
        <v>-1459</v>
      </c>
      <c r="Q282" s="128"/>
      <c r="R282" s="128"/>
      <c r="S282" s="29">
        <f t="shared" si="166"/>
        <v>-1459</v>
      </c>
      <c r="T282" s="124"/>
      <c r="U282" s="123"/>
      <c r="V282" s="49">
        <f t="shared" si="167"/>
        <v>-1459</v>
      </c>
      <c r="W282" s="143"/>
    </row>
    <row r="283" spans="1:23" ht="15.75" customHeight="1">
      <c r="A283" s="87"/>
      <c r="B283" s="77">
        <f ca="1">IFERROR(__xludf.DUMMYFUNCTION("DATE(VALUE(LEFT($B$2,4)),VALUE(MID($B$2,6,2)),VALUE(RIGHT($B$2,2)))
+ (VALUE(REGEXEXTRACT(INDIRECT(""A""&amp;ROW()+1),""\d+""))-1)*7
+ INT((COLUMN()-COLUMN($B283))/3)
"),47650)</f>
        <v>47650</v>
      </c>
      <c r="C283" s="81"/>
      <c r="D283" s="82"/>
      <c r="E283" s="77">
        <f ca="1">IFERROR(__xludf.DUMMYFUNCTION("DATE(VALUE(LEFT($B$2,4)),VALUE(MID($B$2,6,2)),VALUE(RIGHT($B$2,2)))
+ (VALUE(REGEXEXTRACT(INDIRECT(""A""&amp;ROW()+1),""\d+""))-1)*7
+ INT((COLUMN()-COLUMN($B283))/3)
"),47651)</f>
        <v>47651</v>
      </c>
      <c r="F283" s="81"/>
      <c r="G283" s="82"/>
      <c r="H283" s="77">
        <f ca="1">IFERROR(__xludf.DUMMYFUNCTION("DATE(VALUE(LEFT($B$2,4)),VALUE(MID($B$2,6,2)),VALUE(RIGHT($B$2,2)))
+ (VALUE(REGEXEXTRACT(INDIRECT(""A""&amp;ROW()+1),""\d+""))-1)*7
+ INT((COLUMN()-COLUMN($B283))/3)
"),47652)</f>
        <v>47652</v>
      </c>
      <c r="I283" s="81"/>
      <c r="J283" s="82"/>
      <c r="K283" s="77">
        <f ca="1">IFERROR(__xludf.DUMMYFUNCTION("DATE(VALUE(LEFT($B$2,4)),VALUE(MID($B$2,6,2)),VALUE(RIGHT($B$2,2)))
+ (VALUE(REGEXEXTRACT(INDIRECT(""A""&amp;ROW()+1),""\d+""))-1)*7
+ INT((COLUMN()-COLUMN($B283))/3)
"),47653)</f>
        <v>47653</v>
      </c>
      <c r="L283" s="81"/>
      <c r="M283" s="82"/>
      <c r="N283" s="77">
        <f ca="1">IFERROR(__xludf.DUMMYFUNCTION("DATE(VALUE(LEFT($B$2,4)),VALUE(MID($B$2,6,2)),VALUE(RIGHT($B$2,2)))
+ (VALUE(REGEXEXTRACT(INDIRECT(""A""&amp;ROW()+1),""\d+""))-1)*7
+ INT((COLUMN()-COLUMN($B283))/3)
"),47654)</f>
        <v>47654</v>
      </c>
      <c r="O283" s="81"/>
      <c r="P283" s="82"/>
      <c r="Q283" s="77">
        <f ca="1">IFERROR(__xludf.DUMMYFUNCTION("DATE(VALUE(LEFT($B$2,4)),VALUE(MID($B$2,6,2)),VALUE(RIGHT($B$2,2)))
+ (VALUE(REGEXEXTRACT(INDIRECT(""A""&amp;ROW()+1),""\d+""))-1)*7
+ INT((COLUMN()-COLUMN($B283))/3)
"),47655)</f>
        <v>47655</v>
      </c>
      <c r="R283" s="81"/>
      <c r="S283" s="82"/>
      <c r="T283" s="77">
        <f ca="1">IFERROR(__xludf.DUMMYFUNCTION("DATE(VALUE(LEFT($B$2,4)),VALUE(MID($B$2,6,2)),VALUE(RIGHT($B$2,2)))
+ (VALUE(REGEXEXTRACT(INDIRECT(""A""&amp;ROW()+1),""\d+""))-1)*7
+ INT((COLUMN()-COLUMN($B283))/3)
"),47656)</f>
        <v>47656</v>
      </c>
      <c r="U283" s="81"/>
      <c r="V283" s="82"/>
      <c r="W283" s="52" t="s">
        <v>20</v>
      </c>
    </row>
    <row r="284" spans="1:23" ht="15.75" customHeight="1">
      <c r="A284" s="47" t="s">
        <v>153</v>
      </c>
      <c r="B284" s="109"/>
      <c r="C284" s="109"/>
      <c r="D284" s="42">
        <f>V282+C284</f>
        <v>-1459</v>
      </c>
      <c r="E284" s="112"/>
      <c r="F284" s="111"/>
      <c r="G284" s="48">
        <f>D294+F284</f>
        <v>-1459</v>
      </c>
      <c r="H284" s="113"/>
      <c r="I284" s="109"/>
      <c r="J284" s="42">
        <f>G294+I284</f>
        <v>-1459</v>
      </c>
      <c r="K284" s="110"/>
      <c r="L284" s="111"/>
      <c r="M284" s="18">
        <f>J294+L284</f>
        <v>-1459</v>
      </c>
      <c r="N284" s="113"/>
      <c r="O284" s="109"/>
      <c r="P284" s="35">
        <f>M294+O284</f>
        <v>-1459</v>
      </c>
      <c r="Q284" s="112"/>
      <c r="R284" s="111"/>
      <c r="S284" s="36">
        <f>P294+R284</f>
        <v>-1459</v>
      </c>
      <c r="T284" s="176"/>
      <c r="U284" s="173"/>
      <c r="V284" s="50">
        <f>S294+U284</f>
        <v>-1459</v>
      </c>
      <c r="W284" s="172"/>
    </row>
    <row r="285" spans="1:23" ht="15.75" customHeight="1">
      <c r="A285" s="114"/>
      <c r="B285" s="117"/>
      <c r="C285" s="117"/>
      <c r="D285" s="19">
        <f t="shared" ref="D285:D294" si="168">D284+C285</f>
        <v>-1459</v>
      </c>
      <c r="E285" s="106"/>
      <c r="F285" s="107"/>
      <c r="G285" s="20">
        <f t="shared" ref="G285:G294" si="169">G284+F285</f>
        <v>-1459</v>
      </c>
      <c r="H285" s="118"/>
      <c r="I285" s="117"/>
      <c r="J285" s="19">
        <f t="shared" ref="J285:J294" si="170">J284+I285</f>
        <v>-1459</v>
      </c>
      <c r="K285" s="116"/>
      <c r="L285" s="107"/>
      <c r="M285" s="26">
        <f t="shared" ref="M285:M294" si="171">M284+L285</f>
        <v>-1459</v>
      </c>
      <c r="N285" s="118"/>
      <c r="O285" s="117"/>
      <c r="P285" s="38">
        <f t="shared" ref="P285:P294" si="172">P284+O285</f>
        <v>-1459</v>
      </c>
      <c r="Q285" s="106"/>
      <c r="R285" s="107"/>
      <c r="S285" s="26">
        <f t="shared" ref="S285:S294" si="173">S284+R285</f>
        <v>-1459</v>
      </c>
      <c r="T285" s="177"/>
      <c r="U285" s="136"/>
      <c r="V285" s="45">
        <f t="shared" ref="V285:V294" si="174">V284+U285</f>
        <v>-1459</v>
      </c>
      <c r="W285" s="143"/>
    </row>
    <row r="286" spans="1:23" ht="15.75" customHeight="1">
      <c r="A286" s="114"/>
      <c r="B286" s="117"/>
      <c r="C286" s="117"/>
      <c r="D286" s="19">
        <f t="shared" si="168"/>
        <v>-1459</v>
      </c>
      <c r="E286" s="106"/>
      <c r="F286" s="107"/>
      <c r="G286" s="20">
        <f t="shared" si="169"/>
        <v>-1459</v>
      </c>
      <c r="H286" s="118"/>
      <c r="I286" s="117"/>
      <c r="J286" s="19">
        <f t="shared" si="170"/>
        <v>-1459</v>
      </c>
      <c r="K286" s="116"/>
      <c r="L286" s="107"/>
      <c r="M286" s="26">
        <f t="shared" si="171"/>
        <v>-1459</v>
      </c>
      <c r="N286" s="117"/>
      <c r="O286" s="117"/>
      <c r="P286" s="38">
        <f t="shared" si="172"/>
        <v>-1459</v>
      </c>
      <c r="Q286" s="106"/>
      <c r="R286" s="107"/>
      <c r="S286" s="26">
        <f t="shared" si="173"/>
        <v>-1459</v>
      </c>
      <c r="T286" s="177"/>
      <c r="U286" s="136"/>
      <c r="V286" s="45">
        <f t="shared" si="174"/>
        <v>-1459</v>
      </c>
      <c r="W286" s="143"/>
    </row>
    <row r="287" spans="1:23" ht="15.75" customHeight="1">
      <c r="A287" s="114"/>
      <c r="B287" s="117"/>
      <c r="C287" s="117"/>
      <c r="D287" s="19">
        <f t="shared" si="168"/>
        <v>-1459</v>
      </c>
      <c r="E287" s="106"/>
      <c r="F287" s="107"/>
      <c r="G287" s="20">
        <f t="shared" si="169"/>
        <v>-1459</v>
      </c>
      <c r="H287" s="118"/>
      <c r="I287" s="117"/>
      <c r="J287" s="19">
        <f t="shared" si="170"/>
        <v>-1459</v>
      </c>
      <c r="K287" s="116"/>
      <c r="L287" s="107"/>
      <c r="M287" s="26">
        <f t="shared" si="171"/>
        <v>-1459</v>
      </c>
      <c r="N287" s="117"/>
      <c r="O287" s="117"/>
      <c r="P287" s="38">
        <f t="shared" si="172"/>
        <v>-1459</v>
      </c>
      <c r="Q287" s="106"/>
      <c r="R287" s="107"/>
      <c r="S287" s="26">
        <f t="shared" si="173"/>
        <v>-1459</v>
      </c>
      <c r="T287" s="177"/>
      <c r="U287" s="136"/>
      <c r="V287" s="45">
        <f t="shared" si="174"/>
        <v>-1459</v>
      </c>
      <c r="W287" s="143"/>
    </row>
    <row r="288" spans="1:23" ht="15.75" customHeight="1">
      <c r="A288" s="114"/>
      <c r="B288" s="117"/>
      <c r="C288" s="117"/>
      <c r="D288" s="19">
        <f t="shared" si="168"/>
        <v>-1459</v>
      </c>
      <c r="E288" s="106"/>
      <c r="F288" s="107"/>
      <c r="G288" s="20">
        <f t="shared" si="169"/>
        <v>-1459</v>
      </c>
      <c r="H288" s="118"/>
      <c r="I288" s="117"/>
      <c r="J288" s="19">
        <f t="shared" si="170"/>
        <v>-1459</v>
      </c>
      <c r="K288" s="116"/>
      <c r="L288" s="107"/>
      <c r="M288" s="26">
        <f t="shared" si="171"/>
        <v>-1459</v>
      </c>
      <c r="N288" s="117"/>
      <c r="O288" s="117"/>
      <c r="P288" s="38">
        <f t="shared" si="172"/>
        <v>-1459</v>
      </c>
      <c r="Q288" s="106"/>
      <c r="R288" s="107"/>
      <c r="S288" s="26">
        <f t="shared" si="173"/>
        <v>-1459</v>
      </c>
      <c r="T288" s="177"/>
      <c r="U288" s="136"/>
      <c r="V288" s="45">
        <f t="shared" si="174"/>
        <v>-1459</v>
      </c>
      <c r="W288" s="143"/>
    </row>
    <row r="289" spans="1:23" ht="15.75" customHeight="1">
      <c r="A289" s="114"/>
      <c r="B289" s="118"/>
      <c r="C289" s="117"/>
      <c r="D289" s="19">
        <f t="shared" si="168"/>
        <v>-1459</v>
      </c>
      <c r="E289" s="106"/>
      <c r="F289" s="107"/>
      <c r="G289" s="20">
        <f t="shared" si="169"/>
        <v>-1459</v>
      </c>
      <c r="H289" s="118"/>
      <c r="I289" s="117"/>
      <c r="J289" s="19">
        <f t="shared" si="170"/>
        <v>-1459</v>
      </c>
      <c r="K289" s="116"/>
      <c r="L289" s="107"/>
      <c r="M289" s="26">
        <f t="shared" si="171"/>
        <v>-1459</v>
      </c>
      <c r="N289" s="117"/>
      <c r="O289" s="117"/>
      <c r="P289" s="38">
        <f t="shared" si="172"/>
        <v>-1459</v>
      </c>
      <c r="Q289" s="106"/>
      <c r="R289" s="107"/>
      <c r="S289" s="26">
        <f t="shared" si="173"/>
        <v>-1459</v>
      </c>
      <c r="T289" s="177"/>
      <c r="U289" s="136"/>
      <c r="V289" s="45">
        <f t="shared" si="174"/>
        <v>-1459</v>
      </c>
      <c r="W289" s="143"/>
    </row>
    <row r="290" spans="1:23" ht="15.75" customHeight="1">
      <c r="A290" s="114"/>
      <c r="B290" s="117"/>
      <c r="C290" s="117"/>
      <c r="D290" s="19">
        <f t="shared" si="168"/>
        <v>-1459</v>
      </c>
      <c r="E290" s="106"/>
      <c r="F290" s="107"/>
      <c r="G290" s="20">
        <f t="shared" si="169"/>
        <v>-1459</v>
      </c>
      <c r="H290" s="118"/>
      <c r="I290" s="117"/>
      <c r="J290" s="19">
        <f t="shared" si="170"/>
        <v>-1459</v>
      </c>
      <c r="K290" s="116"/>
      <c r="L290" s="107"/>
      <c r="M290" s="26">
        <f t="shared" si="171"/>
        <v>-1459</v>
      </c>
      <c r="N290" s="117"/>
      <c r="O290" s="117"/>
      <c r="P290" s="38">
        <f t="shared" si="172"/>
        <v>-1459</v>
      </c>
      <c r="Q290" s="106"/>
      <c r="R290" s="107"/>
      <c r="S290" s="26">
        <f t="shared" si="173"/>
        <v>-1459</v>
      </c>
      <c r="T290" s="177"/>
      <c r="U290" s="136"/>
      <c r="V290" s="45">
        <f t="shared" si="174"/>
        <v>-1459</v>
      </c>
      <c r="W290" s="143"/>
    </row>
    <row r="291" spans="1:23" ht="15.75" customHeight="1">
      <c r="A291" s="114"/>
      <c r="B291" s="117"/>
      <c r="C291" s="117"/>
      <c r="D291" s="19">
        <f t="shared" si="168"/>
        <v>-1459</v>
      </c>
      <c r="E291" s="106"/>
      <c r="F291" s="107"/>
      <c r="G291" s="20">
        <f t="shared" si="169"/>
        <v>-1459</v>
      </c>
      <c r="H291" s="118"/>
      <c r="I291" s="117"/>
      <c r="J291" s="19">
        <f t="shared" si="170"/>
        <v>-1459</v>
      </c>
      <c r="K291" s="116"/>
      <c r="L291" s="107"/>
      <c r="M291" s="26">
        <f t="shared" si="171"/>
        <v>-1459</v>
      </c>
      <c r="N291" s="117"/>
      <c r="O291" s="117"/>
      <c r="P291" s="38">
        <f t="shared" si="172"/>
        <v>-1459</v>
      </c>
      <c r="Q291" s="106"/>
      <c r="R291" s="107"/>
      <c r="S291" s="26">
        <f t="shared" si="173"/>
        <v>-1459</v>
      </c>
      <c r="T291" s="177"/>
      <c r="U291" s="136"/>
      <c r="V291" s="45">
        <f t="shared" si="174"/>
        <v>-1459</v>
      </c>
      <c r="W291" s="143"/>
    </row>
    <row r="292" spans="1:23" ht="15.75" customHeight="1">
      <c r="A292" s="114"/>
      <c r="B292" s="117"/>
      <c r="C292" s="117"/>
      <c r="D292" s="19">
        <f t="shared" si="168"/>
        <v>-1459</v>
      </c>
      <c r="E292" s="106"/>
      <c r="F292" s="107"/>
      <c r="G292" s="20">
        <f t="shared" si="169"/>
        <v>-1459</v>
      </c>
      <c r="H292" s="118"/>
      <c r="I292" s="117"/>
      <c r="J292" s="19">
        <f t="shared" si="170"/>
        <v>-1459</v>
      </c>
      <c r="K292" s="116"/>
      <c r="L292" s="107"/>
      <c r="M292" s="26">
        <f t="shared" si="171"/>
        <v>-1459</v>
      </c>
      <c r="N292" s="117"/>
      <c r="O292" s="117"/>
      <c r="P292" s="38">
        <f t="shared" si="172"/>
        <v>-1459</v>
      </c>
      <c r="Q292" s="106"/>
      <c r="R292" s="107"/>
      <c r="S292" s="26">
        <f t="shared" si="173"/>
        <v>-1459</v>
      </c>
      <c r="T292" s="177"/>
      <c r="U292" s="136"/>
      <c r="V292" s="45">
        <f t="shared" si="174"/>
        <v>-1459</v>
      </c>
      <c r="W292" s="143"/>
    </row>
    <row r="293" spans="1:23" ht="15.75" customHeight="1">
      <c r="A293" s="114"/>
      <c r="B293" s="117"/>
      <c r="C293" s="117"/>
      <c r="D293" s="19">
        <f t="shared" si="168"/>
        <v>-1459</v>
      </c>
      <c r="E293" s="122"/>
      <c r="F293" s="123"/>
      <c r="G293" s="20">
        <f t="shared" si="169"/>
        <v>-1459</v>
      </c>
      <c r="H293" s="118"/>
      <c r="I293" s="117"/>
      <c r="J293" s="19">
        <f t="shared" si="170"/>
        <v>-1459</v>
      </c>
      <c r="K293" s="124"/>
      <c r="L293" s="123"/>
      <c r="M293" s="26">
        <f t="shared" si="171"/>
        <v>-1459</v>
      </c>
      <c r="N293" s="117"/>
      <c r="O293" s="117"/>
      <c r="P293" s="38">
        <f t="shared" si="172"/>
        <v>-1459</v>
      </c>
      <c r="Q293" s="122"/>
      <c r="R293" s="123"/>
      <c r="S293" s="26">
        <f t="shared" si="173"/>
        <v>-1459</v>
      </c>
      <c r="T293" s="177"/>
      <c r="U293" s="136"/>
      <c r="V293" s="45">
        <f t="shared" si="174"/>
        <v>-1459</v>
      </c>
      <c r="W293" s="143"/>
    </row>
    <row r="294" spans="1:23" ht="15.75" customHeight="1">
      <c r="A294" s="114"/>
      <c r="B294" s="128"/>
      <c r="C294" s="128"/>
      <c r="D294" s="29">
        <f t="shared" si="168"/>
        <v>-1459</v>
      </c>
      <c r="E294" s="122"/>
      <c r="F294" s="123"/>
      <c r="G294" s="49">
        <f t="shared" si="169"/>
        <v>-1459</v>
      </c>
      <c r="H294" s="154"/>
      <c r="I294" s="128"/>
      <c r="J294" s="29">
        <f t="shared" si="170"/>
        <v>-1459</v>
      </c>
      <c r="K294" s="124"/>
      <c r="L294" s="123"/>
      <c r="M294" s="39">
        <f t="shared" si="171"/>
        <v>-1459</v>
      </c>
      <c r="N294" s="128"/>
      <c r="O294" s="128"/>
      <c r="P294" s="40">
        <f t="shared" si="172"/>
        <v>-1459</v>
      </c>
      <c r="Q294" s="122"/>
      <c r="R294" s="123"/>
      <c r="S294" s="39">
        <f t="shared" si="173"/>
        <v>-1459</v>
      </c>
      <c r="T294" s="178"/>
      <c r="U294" s="141"/>
      <c r="V294" s="46">
        <f t="shared" si="174"/>
        <v>-1459</v>
      </c>
      <c r="W294" s="143"/>
    </row>
    <row r="295" spans="1:23" ht="15.75" customHeight="1">
      <c r="A295" s="87"/>
      <c r="B295" s="77">
        <f ca="1">IFERROR(__xludf.DUMMYFUNCTION("DATE(VALUE(LEFT($B$2,4)),VALUE(MID($B$2,6,2)),VALUE(RIGHT($B$2,2)))
+ (VALUE(REGEXEXTRACT(INDIRECT(""A""&amp;ROW()+1),""\d+""))-1)*7
+ INT((COLUMN()-COLUMN($B295))/3)
"),47657)</f>
        <v>47657</v>
      </c>
      <c r="C295" s="81"/>
      <c r="D295" s="82"/>
      <c r="E295" s="77">
        <f ca="1">IFERROR(__xludf.DUMMYFUNCTION("DATE(VALUE(LEFT($B$2,4)),VALUE(MID($B$2,6,2)),VALUE(RIGHT($B$2,2)))
+ (VALUE(REGEXEXTRACT(INDIRECT(""A""&amp;ROW()+1),""\d+""))-1)*7
+ INT((COLUMN()-COLUMN($B295))/3)
"),47658)</f>
        <v>47658</v>
      </c>
      <c r="F295" s="81"/>
      <c r="G295" s="82"/>
      <c r="H295" s="77">
        <f ca="1">IFERROR(__xludf.DUMMYFUNCTION("DATE(VALUE(LEFT($B$2,4)),VALUE(MID($B$2,6,2)),VALUE(RIGHT($B$2,2)))
+ (VALUE(REGEXEXTRACT(INDIRECT(""A""&amp;ROW()+1),""\d+""))-1)*7
+ INT((COLUMN()-COLUMN($B295))/3)
"),47659)</f>
        <v>47659</v>
      </c>
      <c r="I295" s="81"/>
      <c r="J295" s="82"/>
      <c r="K295" s="77">
        <f ca="1">IFERROR(__xludf.DUMMYFUNCTION("DATE(VALUE(LEFT($B$2,4)),VALUE(MID($B$2,6,2)),VALUE(RIGHT($B$2,2)))
+ (VALUE(REGEXEXTRACT(INDIRECT(""A""&amp;ROW()+1),""\d+""))-1)*7
+ INT((COLUMN()-COLUMN($B295))/3)
"),47660)</f>
        <v>47660</v>
      </c>
      <c r="L295" s="81"/>
      <c r="M295" s="82"/>
      <c r="N295" s="77">
        <f ca="1">IFERROR(__xludf.DUMMYFUNCTION("DATE(VALUE(LEFT($B$2,4)),VALUE(MID($B$2,6,2)),VALUE(RIGHT($B$2,2)))
+ (VALUE(REGEXEXTRACT(INDIRECT(""A""&amp;ROW()+1),""\d+""))-1)*7
+ INT((COLUMN()-COLUMN($B295))/3)
"),47661)</f>
        <v>47661</v>
      </c>
      <c r="O295" s="81"/>
      <c r="P295" s="82"/>
      <c r="Q295" s="77">
        <f ca="1">IFERROR(__xludf.DUMMYFUNCTION("DATE(VALUE(LEFT($B$2,4)),VALUE(MID($B$2,6,2)),VALUE(RIGHT($B$2,2)))
+ (VALUE(REGEXEXTRACT(INDIRECT(""A""&amp;ROW()+1),""\d+""))-1)*7
+ INT((COLUMN()-COLUMN($B295))/3)
"),47662)</f>
        <v>47662</v>
      </c>
      <c r="R295" s="81"/>
      <c r="S295" s="82"/>
      <c r="T295" s="77">
        <f ca="1">IFERROR(__xludf.DUMMYFUNCTION("DATE(VALUE(LEFT($B$2,4)),VALUE(MID($B$2,6,2)),VALUE(RIGHT($B$2,2)))
+ (VALUE(REGEXEXTRACT(INDIRECT(""A""&amp;ROW()+1),""\d+""))-1)*7
+ INT((COLUMN()-COLUMN($B295))/3)
"),47663)</f>
        <v>47663</v>
      </c>
      <c r="U295" s="81"/>
      <c r="V295" s="82"/>
      <c r="W295" s="143"/>
    </row>
    <row r="296" spans="1:23" ht="15.75" customHeight="1">
      <c r="A296" s="51" t="s">
        <v>154</v>
      </c>
      <c r="B296" s="112"/>
      <c r="C296" s="111"/>
      <c r="D296" s="17">
        <f>V294+C296</f>
        <v>-1459</v>
      </c>
      <c r="E296" s="109"/>
      <c r="F296" s="109"/>
      <c r="G296" s="42">
        <f>D306+F296</f>
        <v>-1459</v>
      </c>
      <c r="H296" s="112"/>
      <c r="I296" s="111"/>
      <c r="J296" s="17">
        <f>G306+I296</f>
        <v>-1459</v>
      </c>
      <c r="K296" s="109"/>
      <c r="L296" s="109"/>
      <c r="M296" s="35">
        <f>J306+L296</f>
        <v>-1459</v>
      </c>
      <c r="N296" s="112"/>
      <c r="O296" s="111"/>
      <c r="P296" s="17">
        <f>M306+O296</f>
        <v>-1459</v>
      </c>
      <c r="Q296" s="109"/>
      <c r="R296" s="109"/>
      <c r="S296" s="42">
        <f>P306+R296</f>
        <v>-1459</v>
      </c>
      <c r="T296" s="110"/>
      <c r="U296" s="111"/>
      <c r="V296" s="48">
        <f>S306+U296</f>
        <v>-1459</v>
      </c>
      <c r="W296" s="143"/>
    </row>
    <row r="297" spans="1:23" ht="15.75" customHeight="1">
      <c r="A297" s="114"/>
      <c r="B297" s="106"/>
      <c r="C297" s="107"/>
      <c r="D297" s="26">
        <f t="shared" ref="D297:D306" si="175">D296+C297</f>
        <v>-1459</v>
      </c>
      <c r="E297" s="117"/>
      <c r="F297" s="117"/>
      <c r="G297" s="19">
        <f t="shared" ref="G297:G306" si="176">G296+F297</f>
        <v>-1459</v>
      </c>
      <c r="H297" s="106"/>
      <c r="I297" s="107"/>
      <c r="J297" s="26">
        <f t="shared" ref="J297:J306" si="177">J296+I297</f>
        <v>-1459</v>
      </c>
      <c r="K297" s="117"/>
      <c r="L297" s="117"/>
      <c r="M297" s="38">
        <f t="shared" ref="M297:M306" si="178">M296+L297</f>
        <v>-1459</v>
      </c>
      <c r="N297" s="106"/>
      <c r="O297" s="107"/>
      <c r="P297" s="26">
        <f t="shared" ref="P297:P306" si="179">P296+O297</f>
        <v>-1459</v>
      </c>
      <c r="Q297" s="117"/>
      <c r="R297" s="117"/>
      <c r="S297" s="19">
        <f t="shared" ref="S297:S306" si="180">S296+R297</f>
        <v>-1459</v>
      </c>
      <c r="T297" s="106"/>
      <c r="U297" s="107"/>
      <c r="V297" s="20">
        <f t="shared" ref="V297:V306" si="181">V296+U297</f>
        <v>-1459</v>
      </c>
      <c r="W297" s="143"/>
    </row>
    <row r="298" spans="1:23" ht="15.75" customHeight="1">
      <c r="A298" s="114"/>
      <c r="B298" s="106"/>
      <c r="C298" s="107"/>
      <c r="D298" s="26">
        <f t="shared" si="175"/>
        <v>-1459</v>
      </c>
      <c r="E298" s="117"/>
      <c r="F298" s="117"/>
      <c r="G298" s="19">
        <f t="shared" si="176"/>
        <v>-1459</v>
      </c>
      <c r="H298" s="106"/>
      <c r="I298" s="107"/>
      <c r="J298" s="26">
        <f t="shared" si="177"/>
        <v>-1459</v>
      </c>
      <c r="K298" s="117"/>
      <c r="L298" s="117"/>
      <c r="M298" s="38">
        <f t="shared" si="178"/>
        <v>-1459</v>
      </c>
      <c r="N298" s="106"/>
      <c r="O298" s="107"/>
      <c r="P298" s="26">
        <f t="shared" si="179"/>
        <v>-1459</v>
      </c>
      <c r="Q298" s="117"/>
      <c r="R298" s="117"/>
      <c r="S298" s="19">
        <f t="shared" si="180"/>
        <v>-1459</v>
      </c>
      <c r="T298" s="106"/>
      <c r="U298" s="107"/>
      <c r="V298" s="20">
        <f t="shared" si="181"/>
        <v>-1459</v>
      </c>
      <c r="W298" s="143"/>
    </row>
    <row r="299" spans="1:23" ht="15.75" customHeight="1">
      <c r="A299" s="114"/>
      <c r="B299" s="106"/>
      <c r="C299" s="107"/>
      <c r="D299" s="26">
        <f t="shared" si="175"/>
        <v>-1459</v>
      </c>
      <c r="E299" s="117"/>
      <c r="F299" s="117"/>
      <c r="G299" s="19">
        <f t="shared" si="176"/>
        <v>-1459</v>
      </c>
      <c r="H299" s="106"/>
      <c r="I299" s="107"/>
      <c r="J299" s="26">
        <f t="shared" si="177"/>
        <v>-1459</v>
      </c>
      <c r="K299" s="117"/>
      <c r="L299" s="117"/>
      <c r="M299" s="38">
        <f t="shared" si="178"/>
        <v>-1459</v>
      </c>
      <c r="N299" s="106"/>
      <c r="O299" s="107"/>
      <c r="P299" s="26">
        <f t="shared" si="179"/>
        <v>-1459</v>
      </c>
      <c r="Q299" s="117"/>
      <c r="R299" s="117"/>
      <c r="S299" s="19">
        <f t="shared" si="180"/>
        <v>-1459</v>
      </c>
      <c r="T299" s="116"/>
      <c r="U299" s="116"/>
      <c r="V299" s="20">
        <f t="shared" si="181"/>
        <v>-1459</v>
      </c>
      <c r="W299" s="143"/>
    </row>
    <row r="300" spans="1:23" ht="15.75" customHeight="1">
      <c r="A300" s="114"/>
      <c r="B300" s="106"/>
      <c r="C300" s="107"/>
      <c r="D300" s="26">
        <f t="shared" si="175"/>
        <v>-1459</v>
      </c>
      <c r="E300" s="117"/>
      <c r="F300" s="117"/>
      <c r="G300" s="19">
        <f t="shared" si="176"/>
        <v>-1459</v>
      </c>
      <c r="H300" s="106"/>
      <c r="I300" s="107"/>
      <c r="J300" s="26">
        <f t="shared" si="177"/>
        <v>-1459</v>
      </c>
      <c r="K300" s="117"/>
      <c r="L300" s="117"/>
      <c r="M300" s="38">
        <f t="shared" si="178"/>
        <v>-1459</v>
      </c>
      <c r="N300" s="106"/>
      <c r="O300" s="107"/>
      <c r="P300" s="26">
        <f t="shared" si="179"/>
        <v>-1459</v>
      </c>
      <c r="Q300" s="117"/>
      <c r="R300" s="117"/>
      <c r="S300" s="19">
        <f t="shared" si="180"/>
        <v>-1459</v>
      </c>
      <c r="T300" s="116"/>
      <c r="U300" s="116"/>
      <c r="V300" s="20">
        <f t="shared" si="181"/>
        <v>-1459</v>
      </c>
      <c r="W300" s="143"/>
    </row>
    <row r="301" spans="1:23" ht="15.75" customHeight="1">
      <c r="A301" s="114"/>
      <c r="B301" s="106"/>
      <c r="C301" s="107"/>
      <c r="D301" s="26">
        <f t="shared" si="175"/>
        <v>-1459</v>
      </c>
      <c r="E301" s="117"/>
      <c r="F301" s="117"/>
      <c r="G301" s="19">
        <f t="shared" si="176"/>
        <v>-1459</v>
      </c>
      <c r="H301" s="106"/>
      <c r="I301" s="107"/>
      <c r="J301" s="26">
        <f t="shared" si="177"/>
        <v>-1459</v>
      </c>
      <c r="K301" s="117"/>
      <c r="L301" s="117"/>
      <c r="M301" s="38">
        <f t="shared" si="178"/>
        <v>-1459</v>
      </c>
      <c r="N301" s="106"/>
      <c r="O301" s="107"/>
      <c r="P301" s="26">
        <f t="shared" si="179"/>
        <v>-1459</v>
      </c>
      <c r="Q301" s="117"/>
      <c r="R301" s="117"/>
      <c r="S301" s="19">
        <f t="shared" si="180"/>
        <v>-1459</v>
      </c>
      <c r="T301" s="116"/>
      <c r="U301" s="116"/>
      <c r="V301" s="20">
        <f t="shared" si="181"/>
        <v>-1459</v>
      </c>
      <c r="W301" s="143"/>
    </row>
    <row r="302" spans="1:23" ht="15.75" customHeight="1">
      <c r="A302" s="114"/>
      <c r="B302" s="106"/>
      <c r="C302" s="107"/>
      <c r="D302" s="26">
        <f t="shared" si="175"/>
        <v>-1459</v>
      </c>
      <c r="E302" s="117"/>
      <c r="F302" s="117"/>
      <c r="G302" s="19">
        <f t="shared" si="176"/>
        <v>-1459</v>
      </c>
      <c r="H302" s="106"/>
      <c r="I302" s="107"/>
      <c r="J302" s="26">
        <f t="shared" si="177"/>
        <v>-1459</v>
      </c>
      <c r="K302" s="117"/>
      <c r="L302" s="117"/>
      <c r="M302" s="38">
        <f t="shared" si="178"/>
        <v>-1459</v>
      </c>
      <c r="N302" s="106"/>
      <c r="O302" s="107"/>
      <c r="P302" s="26">
        <f t="shared" si="179"/>
        <v>-1459</v>
      </c>
      <c r="Q302" s="117"/>
      <c r="R302" s="117"/>
      <c r="S302" s="19">
        <f t="shared" si="180"/>
        <v>-1459</v>
      </c>
      <c r="T302" s="116"/>
      <c r="U302" s="116"/>
      <c r="V302" s="20">
        <f t="shared" si="181"/>
        <v>-1459</v>
      </c>
      <c r="W302" s="143"/>
    </row>
    <row r="303" spans="1:23" ht="15.75" customHeight="1">
      <c r="A303" s="114"/>
      <c r="B303" s="106"/>
      <c r="C303" s="107"/>
      <c r="D303" s="26">
        <f t="shared" si="175"/>
        <v>-1459</v>
      </c>
      <c r="E303" s="117"/>
      <c r="F303" s="117"/>
      <c r="G303" s="19">
        <f t="shared" si="176"/>
        <v>-1459</v>
      </c>
      <c r="H303" s="106"/>
      <c r="I303" s="107"/>
      <c r="J303" s="26">
        <f t="shared" si="177"/>
        <v>-1459</v>
      </c>
      <c r="K303" s="117"/>
      <c r="L303" s="117"/>
      <c r="M303" s="38">
        <f t="shared" si="178"/>
        <v>-1459</v>
      </c>
      <c r="N303" s="106"/>
      <c r="O303" s="107"/>
      <c r="P303" s="26">
        <f t="shared" si="179"/>
        <v>-1459</v>
      </c>
      <c r="Q303" s="117"/>
      <c r="R303" s="117"/>
      <c r="S303" s="19">
        <f t="shared" si="180"/>
        <v>-1459</v>
      </c>
      <c r="T303" s="116"/>
      <c r="U303" s="116"/>
      <c r="V303" s="20">
        <f t="shared" si="181"/>
        <v>-1459</v>
      </c>
      <c r="W303" s="143"/>
    </row>
    <row r="304" spans="1:23" ht="15.75" customHeight="1">
      <c r="A304" s="114"/>
      <c r="B304" s="122"/>
      <c r="C304" s="123"/>
      <c r="D304" s="26">
        <f t="shared" si="175"/>
        <v>-1459</v>
      </c>
      <c r="E304" s="117"/>
      <c r="F304" s="117"/>
      <c r="G304" s="19">
        <f t="shared" si="176"/>
        <v>-1459</v>
      </c>
      <c r="H304" s="122"/>
      <c r="I304" s="123"/>
      <c r="J304" s="26">
        <f t="shared" si="177"/>
        <v>-1459</v>
      </c>
      <c r="K304" s="117"/>
      <c r="L304" s="117"/>
      <c r="M304" s="38">
        <f t="shared" si="178"/>
        <v>-1459</v>
      </c>
      <c r="N304" s="122"/>
      <c r="O304" s="123"/>
      <c r="P304" s="26">
        <f t="shared" si="179"/>
        <v>-1459</v>
      </c>
      <c r="Q304" s="117"/>
      <c r="R304" s="117"/>
      <c r="S304" s="19">
        <f t="shared" si="180"/>
        <v>-1459</v>
      </c>
      <c r="T304" s="116"/>
      <c r="U304" s="116"/>
      <c r="V304" s="20">
        <f t="shared" si="181"/>
        <v>-1459</v>
      </c>
      <c r="W304" s="143"/>
    </row>
    <row r="305" spans="1:23" ht="15.75" customHeight="1">
      <c r="A305" s="114"/>
      <c r="B305" s="122"/>
      <c r="C305" s="123"/>
      <c r="D305" s="26">
        <f t="shared" si="175"/>
        <v>-1459</v>
      </c>
      <c r="E305" s="117"/>
      <c r="F305" s="117"/>
      <c r="G305" s="19">
        <f t="shared" si="176"/>
        <v>-1459</v>
      </c>
      <c r="H305" s="122"/>
      <c r="I305" s="123"/>
      <c r="J305" s="26">
        <f t="shared" si="177"/>
        <v>-1459</v>
      </c>
      <c r="K305" s="117"/>
      <c r="L305" s="117"/>
      <c r="M305" s="38">
        <f t="shared" si="178"/>
        <v>-1459</v>
      </c>
      <c r="N305" s="122"/>
      <c r="O305" s="123"/>
      <c r="P305" s="26">
        <f t="shared" si="179"/>
        <v>-1459</v>
      </c>
      <c r="Q305" s="117"/>
      <c r="R305" s="117"/>
      <c r="S305" s="19">
        <f t="shared" si="180"/>
        <v>-1459</v>
      </c>
      <c r="T305" s="124"/>
      <c r="U305" s="124"/>
      <c r="V305" s="20">
        <f t="shared" si="181"/>
        <v>-1459</v>
      </c>
      <c r="W305" s="143"/>
    </row>
    <row r="306" spans="1:23" ht="15.75" customHeight="1">
      <c r="A306" s="114"/>
      <c r="B306" s="122"/>
      <c r="C306" s="123"/>
      <c r="D306" s="39">
        <f t="shared" si="175"/>
        <v>-1459</v>
      </c>
      <c r="E306" s="128"/>
      <c r="F306" s="128"/>
      <c r="G306" s="29">
        <f t="shared" si="176"/>
        <v>-1459</v>
      </c>
      <c r="H306" s="122"/>
      <c r="I306" s="123"/>
      <c r="J306" s="39">
        <f t="shared" si="177"/>
        <v>-1459</v>
      </c>
      <c r="K306" s="128"/>
      <c r="L306" s="128"/>
      <c r="M306" s="40">
        <f t="shared" si="178"/>
        <v>-1459</v>
      </c>
      <c r="N306" s="122"/>
      <c r="O306" s="123"/>
      <c r="P306" s="39">
        <f t="shared" si="179"/>
        <v>-1459</v>
      </c>
      <c r="Q306" s="128"/>
      <c r="R306" s="128"/>
      <c r="S306" s="29">
        <f t="shared" si="180"/>
        <v>-1459</v>
      </c>
      <c r="T306" s="124"/>
      <c r="U306" s="123"/>
      <c r="V306" s="49">
        <f t="shared" si="181"/>
        <v>-1459</v>
      </c>
      <c r="W306" s="143"/>
    </row>
    <row r="307" spans="1:23" ht="15.75" customHeight="1">
      <c r="A307" s="87"/>
      <c r="B307" s="77">
        <f ca="1">IFERROR(__xludf.DUMMYFUNCTION("DATE(VALUE(LEFT($B$2,4)),VALUE(MID($B$2,6,2)),VALUE(RIGHT($B$2,2)))
+ (VALUE(REGEXEXTRACT(INDIRECT(""A""&amp;ROW()+1),""\d+""))-1)*7
+ INT((COLUMN()-COLUMN($B307))/3)
"),47664)</f>
        <v>47664</v>
      </c>
      <c r="C307" s="81"/>
      <c r="D307" s="82"/>
      <c r="E307" s="77">
        <f ca="1">IFERROR(__xludf.DUMMYFUNCTION("DATE(VALUE(LEFT($B$2,4)),VALUE(MID($B$2,6,2)),VALUE(RIGHT($B$2,2)))
+ (VALUE(REGEXEXTRACT(INDIRECT(""A""&amp;ROW()+1),""\d+""))-1)*7
+ INT((COLUMN()-COLUMN($B307))/3)
"),47665)</f>
        <v>47665</v>
      </c>
      <c r="F307" s="81"/>
      <c r="G307" s="82"/>
      <c r="H307" s="77">
        <f ca="1">IFERROR(__xludf.DUMMYFUNCTION("DATE(VALUE(LEFT($B$2,4)),VALUE(MID($B$2,6,2)),VALUE(RIGHT($B$2,2)))
+ (VALUE(REGEXEXTRACT(INDIRECT(""A""&amp;ROW()+1),""\d+""))-1)*7
+ INT((COLUMN()-COLUMN($B307))/3)
"),47666)</f>
        <v>47666</v>
      </c>
      <c r="I307" s="81"/>
      <c r="J307" s="82"/>
      <c r="K307" s="77">
        <f ca="1">IFERROR(__xludf.DUMMYFUNCTION("DATE(VALUE(LEFT($B$2,4)),VALUE(MID($B$2,6,2)),VALUE(RIGHT($B$2,2)))
+ (VALUE(REGEXEXTRACT(INDIRECT(""A""&amp;ROW()+1),""\d+""))-1)*7
+ INT((COLUMN()-COLUMN($B307))/3)
"),47667)</f>
        <v>47667</v>
      </c>
      <c r="L307" s="81"/>
      <c r="M307" s="82"/>
      <c r="N307" s="77">
        <f ca="1">IFERROR(__xludf.DUMMYFUNCTION("DATE(VALUE(LEFT($B$2,4)),VALUE(MID($B$2,6,2)),VALUE(RIGHT($B$2,2)))
+ (VALUE(REGEXEXTRACT(INDIRECT(""A""&amp;ROW()+1),""\d+""))-1)*7
+ INT((COLUMN()-COLUMN($B307))/3)
"),47668)</f>
        <v>47668</v>
      </c>
      <c r="O307" s="81"/>
      <c r="P307" s="82"/>
      <c r="Q307" s="77">
        <f ca="1">IFERROR(__xludf.DUMMYFUNCTION("DATE(VALUE(LEFT($B$2,4)),VALUE(MID($B$2,6,2)),VALUE(RIGHT($B$2,2)))
+ (VALUE(REGEXEXTRACT(INDIRECT(""A""&amp;ROW()+1),""\d+""))-1)*7
+ INT((COLUMN()-COLUMN($B307))/3)
"),47669)</f>
        <v>47669</v>
      </c>
      <c r="R307" s="81"/>
      <c r="S307" s="82"/>
      <c r="T307" s="77">
        <f ca="1">IFERROR(__xludf.DUMMYFUNCTION("DATE(VALUE(LEFT($B$2,4)),VALUE(MID($B$2,6,2)),VALUE(RIGHT($B$2,2)))
+ (VALUE(REGEXEXTRACT(INDIRECT(""A""&amp;ROW()+1),""\d+""))-1)*7
+ INT((COLUMN()-COLUMN($B307))/3)
"),47670)</f>
        <v>47670</v>
      </c>
      <c r="U307" s="81"/>
      <c r="V307" s="82"/>
      <c r="W307" s="52" t="s">
        <v>20</v>
      </c>
    </row>
    <row r="308" spans="1:23" ht="15.75" customHeight="1">
      <c r="A308" s="47" t="s">
        <v>155</v>
      </c>
      <c r="B308" s="113"/>
      <c r="C308" s="109"/>
      <c r="D308" s="50">
        <f>V306+C308</f>
        <v>-1459</v>
      </c>
      <c r="E308" s="179"/>
      <c r="F308" s="180"/>
      <c r="G308" s="36">
        <f>D318+F308</f>
        <v>-1459</v>
      </c>
      <c r="H308" s="132"/>
      <c r="I308" s="109"/>
      <c r="J308" s="42">
        <f>G318+I308</f>
        <v>-1459</v>
      </c>
      <c r="K308" s="110"/>
      <c r="L308" s="111"/>
      <c r="M308" s="18">
        <f>J318+L308</f>
        <v>-1459</v>
      </c>
      <c r="N308" s="113"/>
      <c r="O308" s="109"/>
      <c r="P308" s="35">
        <f>M318+O308</f>
        <v>-1459</v>
      </c>
      <c r="Q308" s="112"/>
      <c r="R308" s="111"/>
      <c r="S308" s="17">
        <f>P318+R308</f>
        <v>-1459</v>
      </c>
      <c r="T308" s="176"/>
      <c r="U308" s="173"/>
      <c r="V308" s="50">
        <f>S318+U308</f>
        <v>-1459</v>
      </c>
      <c r="W308" s="172"/>
    </row>
    <row r="309" spans="1:23" ht="15.75" customHeight="1">
      <c r="A309" s="114"/>
      <c r="B309" s="118"/>
      <c r="C309" s="117"/>
      <c r="D309" s="45">
        <f t="shared" ref="D309:D318" si="182">D308+C309</f>
        <v>-1459</v>
      </c>
      <c r="E309" s="106"/>
      <c r="F309" s="107"/>
      <c r="G309" s="26">
        <f t="shared" ref="G309:G318" si="183">G308+F309</f>
        <v>-1459</v>
      </c>
      <c r="H309" s="133"/>
      <c r="I309" s="117"/>
      <c r="J309" s="19">
        <f t="shared" ref="J309:J318" si="184">J308+I309</f>
        <v>-1459</v>
      </c>
      <c r="K309" s="116"/>
      <c r="L309" s="107"/>
      <c r="M309" s="26">
        <f t="shared" ref="M309:M318" si="185">M308+L309</f>
        <v>-1459</v>
      </c>
      <c r="N309" s="118"/>
      <c r="O309" s="117"/>
      <c r="P309" s="38">
        <f t="shared" ref="P309:P318" si="186">P308+O309</f>
        <v>-1459</v>
      </c>
      <c r="Q309" s="106"/>
      <c r="R309" s="107"/>
      <c r="S309" s="26">
        <f t="shared" ref="S309:S318" si="187">S308+R309</f>
        <v>-1459</v>
      </c>
      <c r="T309" s="177"/>
      <c r="U309" s="136"/>
      <c r="V309" s="45">
        <f t="shared" ref="V309:V318" si="188">V308+U309</f>
        <v>-1459</v>
      </c>
      <c r="W309" s="143"/>
    </row>
    <row r="310" spans="1:23" ht="15.75" customHeight="1">
      <c r="A310" s="114"/>
      <c r="B310" s="118"/>
      <c r="C310" s="117"/>
      <c r="D310" s="45">
        <f t="shared" si="182"/>
        <v>-1459</v>
      </c>
      <c r="E310" s="106"/>
      <c r="F310" s="107"/>
      <c r="G310" s="26">
        <f t="shared" si="183"/>
        <v>-1459</v>
      </c>
      <c r="H310" s="133"/>
      <c r="I310" s="117"/>
      <c r="J310" s="19">
        <f t="shared" si="184"/>
        <v>-1459</v>
      </c>
      <c r="K310" s="116"/>
      <c r="L310" s="107"/>
      <c r="M310" s="26">
        <f t="shared" si="185"/>
        <v>-1459</v>
      </c>
      <c r="N310" s="117"/>
      <c r="O310" s="117"/>
      <c r="P310" s="38">
        <f t="shared" si="186"/>
        <v>-1459</v>
      </c>
      <c r="Q310" s="106"/>
      <c r="R310" s="107"/>
      <c r="S310" s="26">
        <f t="shared" si="187"/>
        <v>-1459</v>
      </c>
      <c r="T310" s="177"/>
      <c r="U310" s="136"/>
      <c r="V310" s="45">
        <f t="shared" si="188"/>
        <v>-1459</v>
      </c>
      <c r="W310" s="143"/>
    </row>
    <row r="311" spans="1:23" ht="15.75" customHeight="1">
      <c r="A311" s="114"/>
      <c r="B311" s="118"/>
      <c r="C311" s="117"/>
      <c r="D311" s="45">
        <f t="shared" si="182"/>
        <v>-1459</v>
      </c>
      <c r="E311" s="106"/>
      <c r="F311" s="107"/>
      <c r="G311" s="26">
        <f t="shared" si="183"/>
        <v>-1459</v>
      </c>
      <c r="H311" s="133"/>
      <c r="I311" s="117"/>
      <c r="J311" s="19">
        <f t="shared" si="184"/>
        <v>-1459</v>
      </c>
      <c r="K311" s="116"/>
      <c r="L311" s="107"/>
      <c r="M311" s="26">
        <f t="shared" si="185"/>
        <v>-1459</v>
      </c>
      <c r="N311" s="117"/>
      <c r="O311" s="117"/>
      <c r="P311" s="38">
        <f t="shared" si="186"/>
        <v>-1459</v>
      </c>
      <c r="Q311" s="106"/>
      <c r="R311" s="107"/>
      <c r="S311" s="26">
        <f t="shared" si="187"/>
        <v>-1459</v>
      </c>
      <c r="T311" s="177"/>
      <c r="U311" s="136"/>
      <c r="V311" s="45">
        <f t="shared" si="188"/>
        <v>-1459</v>
      </c>
      <c r="W311" s="143"/>
    </row>
    <row r="312" spans="1:23" ht="15.75" customHeight="1">
      <c r="A312" s="114"/>
      <c r="B312" s="118"/>
      <c r="C312" s="117"/>
      <c r="D312" s="45">
        <f t="shared" si="182"/>
        <v>-1459</v>
      </c>
      <c r="E312" s="106"/>
      <c r="F312" s="107"/>
      <c r="G312" s="26">
        <f t="shared" si="183"/>
        <v>-1459</v>
      </c>
      <c r="H312" s="133"/>
      <c r="I312" s="117"/>
      <c r="J312" s="19">
        <f t="shared" si="184"/>
        <v>-1459</v>
      </c>
      <c r="K312" s="116"/>
      <c r="L312" s="107"/>
      <c r="M312" s="26">
        <f t="shared" si="185"/>
        <v>-1459</v>
      </c>
      <c r="N312" s="117"/>
      <c r="O312" s="117"/>
      <c r="P312" s="38">
        <f t="shared" si="186"/>
        <v>-1459</v>
      </c>
      <c r="Q312" s="106"/>
      <c r="R312" s="107"/>
      <c r="S312" s="26">
        <f t="shared" si="187"/>
        <v>-1459</v>
      </c>
      <c r="T312" s="177"/>
      <c r="U312" s="136"/>
      <c r="V312" s="45">
        <f t="shared" si="188"/>
        <v>-1459</v>
      </c>
      <c r="W312" s="143"/>
    </row>
    <row r="313" spans="1:23" ht="15.75" customHeight="1">
      <c r="A313" s="114"/>
      <c r="B313" s="118"/>
      <c r="C313" s="117"/>
      <c r="D313" s="45">
        <f t="shared" si="182"/>
        <v>-1459</v>
      </c>
      <c r="E313" s="106"/>
      <c r="F313" s="107"/>
      <c r="G313" s="26">
        <f t="shared" si="183"/>
        <v>-1459</v>
      </c>
      <c r="H313" s="133"/>
      <c r="I313" s="117"/>
      <c r="J313" s="19">
        <f t="shared" si="184"/>
        <v>-1459</v>
      </c>
      <c r="K313" s="116"/>
      <c r="L313" s="107"/>
      <c r="M313" s="26">
        <f t="shared" si="185"/>
        <v>-1459</v>
      </c>
      <c r="N313" s="117"/>
      <c r="O313" s="117"/>
      <c r="P313" s="38">
        <f t="shared" si="186"/>
        <v>-1459</v>
      </c>
      <c r="Q313" s="106"/>
      <c r="R313" s="107"/>
      <c r="S313" s="26">
        <f t="shared" si="187"/>
        <v>-1459</v>
      </c>
      <c r="T313" s="177"/>
      <c r="U313" s="136"/>
      <c r="V313" s="45">
        <f t="shared" si="188"/>
        <v>-1459</v>
      </c>
      <c r="W313" s="143"/>
    </row>
    <row r="314" spans="1:23" ht="15.75" customHeight="1">
      <c r="A314" s="114"/>
      <c r="B314" s="117"/>
      <c r="C314" s="117"/>
      <c r="D314" s="45">
        <f t="shared" si="182"/>
        <v>-1459</v>
      </c>
      <c r="E314" s="106"/>
      <c r="F314" s="107"/>
      <c r="G314" s="26">
        <f t="shared" si="183"/>
        <v>-1459</v>
      </c>
      <c r="H314" s="133"/>
      <c r="I314" s="117"/>
      <c r="J314" s="19">
        <f t="shared" si="184"/>
        <v>-1459</v>
      </c>
      <c r="K314" s="106"/>
      <c r="L314" s="107"/>
      <c r="M314" s="26">
        <f t="shared" si="185"/>
        <v>-1459</v>
      </c>
      <c r="N314" s="117"/>
      <c r="O314" s="117"/>
      <c r="P314" s="38">
        <f t="shared" si="186"/>
        <v>-1459</v>
      </c>
      <c r="Q314" s="106"/>
      <c r="R314" s="107"/>
      <c r="S314" s="26">
        <f t="shared" si="187"/>
        <v>-1459</v>
      </c>
      <c r="T314" s="177"/>
      <c r="U314" s="136"/>
      <c r="V314" s="45">
        <f t="shared" si="188"/>
        <v>-1459</v>
      </c>
      <c r="W314" s="143"/>
    </row>
    <row r="315" spans="1:23" ht="15.75" customHeight="1">
      <c r="A315" s="114"/>
      <c r="B315" s="117"/>
      <c r="C315" s="117"/>
      <c r="D315" s="45">
        <f t="shared" si="182"/>
        <v>-1459</v>
      </c>
      <c r="E315" s="106"/>
      <c r="F315" s="107"/>
      <c r="G315" s="26">
        <f t="shared" si="183"/>
        <v>-1459</v>
      </c>
      <c r="H315" s="133"/>
      <c r="I315" s="117"/>
      <c r="J315" s="19">
        <f t="shared" si="184"/>
        <v>-1459</v>
      </c>
      <c r="K315" s="106"/>
      <c r="L315" s="107"/>
      <c r="M315" s="26">
        <f t="shared" si="185"/>
        <v>-1459</v>
      </c>
      <c r="N315" s="117"/>
      <c r="O315" s="117"/>
      <c r="P315" s="38">
        <f t="shared" si="186"/>
        <v>-1459</v>
      </c>
      <c r="Q315" s="106"/>
      <c r="R315" s="107"/>
      <c r="S315" s="26">
        <f t="shared" si="187"/>
        <v>-1459</v>
      </c>
      <c r="T315" s="177"/>
      <c r="U315" s="136"/>
      <c r="V315" s="45">
        <f t="shared" si="188"/>
        <v>-1459</v>
      </c>
      <c r="W315" s="143"/>
    </row>
    <row r="316" spans="1:23" ht="15.75" customHeight="1">
      <c r="A316" s="114"/>
      <c r="B316" s="117"/>
      <c r="C316" s="117"/>
      <c r="D316" s="45">
        <f t="shared" si="182"/>
        <v>-1459</v>
      </c>
      <c r="E316" s="106"/>
      <c r="F316" s="107"/>
      <c r="G316" s="26">
        <f t="shared" si="183"/>
        <v>-1459</v>
      </c>
      <c r="H316" s="133"/>
      <c r="I316" s="117"/>
      <c r="J316" s="19">
        <f t="shared" si="184"/>
        <v>-1459</v>
      </c>
      <c r="K316" s="106"/>
      <c r="L316" s="107"/>
      <c r="M316" s="26">
        <f t="shared" si="185"/>
        <v>-1459</v>
      </c>
      <c r="N316" s="117"/>
      <c r="O316" s="117"/>
      <c r="P316" s="38">
        <f t="shared" si="186"/>
        <v>-1459</v>
      </c>
      <c r="Q316" s="106"/>
      <c r="R316" s="107"/>
      <c r="S316" s="26">
        <f t="shared" si="187"/>
        <v>-1459</v>
      </c>
      <c r="T316" s="177"/>
      <c r="U316" s="136"/>
      <c r="V316" s="45">
        <f t="shared" si="188"/>
        <v>-1459</v>
      </c>
      <c r="W316" s="143"/>
    </row>
    <row r="317" spans="1:23" ht="15.75" customHeight="1">
      <c r="A317" s="114"/>
      <c r="B317" s="117"/>
      <c r="C317" s="117"/>
      <c r="D317" s="45">
        <f t="shared" si="182"/>
        <v>-1459</v>
      </c>
      <c r="E317" s="122"/>
      <c r="F317" s="123"/>
      <c r="G317" s="26">
        <f t="shared" si="183"/>
        <v>-1459</v>
      </c>
      <c r="H317" s="133"/>
      <c r="I317" s="117"/>
      <c r="J317" s="19">
        <f t="shared" si="184"/>
        <v>-1459</v>
      </c>
      <c r="K317" s="122"/>
      <c r="L317" s="123"/>
      <c r="M317" s="26">
        <f t="shared" si="185"/>
        <v>-1459</v>
      </c>
      <c r="N317" s="117"/>
      <c r="O317" s="117"/>
      <c r="P317" s="38">
        <f t="shared" si="186"/>
        <v>-1459</v>
      </c>
      <c r="Q317" s="122"/>
      <c r="R317" s="123"/>
      <c r="S317" s="26">
        <f t="shared" si="187"/>
        <v>-1459</v>
      </c>
      <c r="T317" s="177"/>
      <c r="U317" s="136"/>
      <c r="V317" s="45">
        <f t="shared" si="188"/>
        <v>-1459</v>
      </c>
      <c r="W317" s="143"/>
    </row>
    <row r="318" spans="1:23" ht="15.75" customHeight="1">
      <c r="A318" s="114"/>
      <c r="B318" s="128"/>
      <c r="C318" s="128"/>
      <c r="D318" s="46">
        <f t="shared" si="182"/>
        <v>-1459</v>
      </c>
      <c r="E318" s="122"/>
      <c r="F318" s="123"/>
      <c r="G318" s="39">
        <f t="shared" si="183"/>
        <v>-1459</v>
      </c>
      <c r="H318" s="140"/>
      <c r="I318" s="128"/>
      <c r="J318" s="29">
        <f t="shared" si="184"/>
        <v>-1459</v>
      </c>
      <c r="K318" s="122"/>
      <c r="L318" s="123"/>
      <c r="M318" s="39">
        <f t="shared" si="185"/>
        <v>-1459</v>
      </c>
      <c r="N318" s="128"/>
      <c r="O318" s="128"/>
      <c r="P318" s="40">
        <f t="shared" si="186"/>
        <v>-1459</v>
      </c>
      <c r="Q318" s="122"/>
      <c r="R318" s="123"/>
      <c r="S318" s="39">
        <f t="shared" si="187"/>
        <v>-1459</v>
      </c>
      <c r="T318" s="178"/>
      <c r="U318" s="141"/>
      <c r="V318" s="46">
        <f t="shared" si="188"/>
        <v>-1459</v>
      </c>
      <c r="W318" s="143"/>
    </row>
    <row r="319" spans="1:23" ht="15.75" customHeight="1">
      <c r="A319" s="87"/>
      <c r="B319" s="77">
        <f ca="1">IFERROR(__xludf.DUMMYFUNCTION("DATE(VALUE(LEFT($B$2,4)),VALUE(MID($B$2,6,2)),VALUE(RIGHT($B$2,2)))
+ (VALUE(REGEXEXTRACT(INDIRECT(""A""&amp;ROW()+1),""\d+""))-1)*7
+ INT((COLUMN()-COLUMN($B319))/3)
"),47671)</f>
        <v>47671</v>
      </c>
      <c r="C319" s="81"/>
      <c r="D319" s="82"/>
      <c r="E319" s="77">
        <f ca="1">IFERROR(__xludf.DUMMYFUNCTION("DATE(VALUE(LEFT($B$2,4)),VALUE(MID($B$2,6,2)),VALUE(RIGHT($B$2,2)))
+ (VALUE(REGEXEXTRACT(INDIRECT(""A""&amp;ROW()+1),""\d+""))-1)*7
+ INT((COLUMN()-COLUMN($B319))/3)
"),47672)</f>
        <v>47672</v>
      </c>
      <c r="F319" s="81"/>
      <c r="G319" s="82"/>
      <c r="H319" s="77">
        <f ca="1">IFERROR(__xludf.DUMMYFUNCTION("DATE(VALUE(LEFT($B$2,4)),VALUE(MID($B$2,6,2)),VALUE(RIGHT($B$2,2)))
+ (VALUE(REGEXEXTRACT(INDIRECT(""A""&amp;ROW()+1),""\d+""))-1)*7
+ INT((COLUMN()-COLUMN($B319))/3)
"),47673)</f>
        <v>47673</v>
      </c>
      <c r="I319" s="81"/>
      <c r="J319" s="82"/>
      <c r="K319" s="77">
        <f ca="1">IFERROR(__xludf.DUMMYFUNCTION("DATE(VALUE(LEFT($B$2,4)),VALUE(MID($B$2,6,2)),VALUE(RIGHT($B$2,2)))
+ (VALUE(REGEXEXTRACT(INDIRECT(""A""&amp;ROW()+1),""\d+""))-1)*7
+ INT((COLUMN()-COLUMN($B319))/3)
"),47674)</f>
        <v>47674</v>
      </c>
      <c r="L319" s="81"/>
      <c r="M319" s="82"/>
      <c r="N319" s="77">
        <f ca="1">IFERROR(__xludf.DUMMYFUNCTION("DATE(VALUE(LEFT($B$2,4)),VALUE(MID($B$2,6,2)),VALUE(RIGHT($B$2,2)))
+ (VALUE(REGEXEXTRACT(INDIRECT(""A""&amp;ROW()+1),""\d+""))-1)*7
+ INT((COLUMN()-COLUMN($B319))/3)
"),47675)</f>
        <v>47675</v>
      </c>
      <c r="O319" s="81"/>
      <c r="P319" s="82"/>
      <c r="Q319" s="77">
        <f ca="1">IFERROR(__xludf.DUMMYFUNCTION("DATE(VALUE(LEFT($B$2,4)),VALUE(MID($B$2,6,2)),VALUE(RIGHT($B$2,2)))
+ (VALUE(REGEXEXTRACT(INDIRECT(""A""&amp;ROW()+1),""\d+""))-1)*7
+ INT((COLUMN()-COLUMN($B319))/3)
"),47676)</f>
        <v>47676</v>
      </c>
      <c r="R319" s="81"/>
      <c r="S319" s="82"/>
      <c r="T319" s="77">
        <f ca="1">IFERROR(__xludf.DUMMYFUNCTION("DATE(VALUE(LEFT($B$2,4)),VALUE(MID($B$2,6,2)),VALUE(RIGHT($B$2,2)))
+ (VALUE(REGEXEXTRACT(INDIRECT(""A""&amp;ROW()+1),""\d+""))-1)*7
+ INT((COLUMN()-COLUMN($B319))/3)
"),47677)</f>
        <v>47677</v>
      </c>
      <c r="U319" s="81"/>
      <c r="V319" s="82"/>
      <c r="W319" s="143"/>
    </row>
    <row r="320" spans="1:23" ht="15.75" customHeight="1">
      <c r="A320" s="51" t="s">
        <v>156</v>
      </c>
      <c r="B320" s="112"/>
      <c r="C320" s="111"/>
      <c r="D320" s="48">
        <f>V318+C320</f>
        <v>-1459</v>
      </c>
      <c r="E320" s="113"/>
      <c r="F320" s="109"/>
      <c r="G320" s="42">
        <f>D330+F320</f>
        <v>-1459</v>
      </c>
      <c r="H320" s="110"/>
      <c r="I320" s="111"/>
      <c r="J320" s="17">
        <f>G330+I320</f>
        <v>-1459</v>
      </c>
      <c r="K320" s="109"/>
      <c r="L320" s="109"/>
      <c r="M320" s="35">
        <f>J330+L320</f>
        <v>-1459</v>
      </c>
      <c r="N320" s="112"/>
      <c r="O320" s="111"/>
      <c r="P320" s="17">
        <f>M330+O320</f>
        <v>-1459</v>
      </c>
      <c r="Q320" s="109"/>
      <c r="R320" s="109"/>
      <c r="S320" s="42">
        <f>P330+R320</f>
        <v>-1459</v>
      </c>
      <c r="T320" s="110"/>
      <c r="U320" s="111"/>
      <c r="V320" s="48">
        <f>S330+U320</f>
        <v>-1459</v>
      </c>
      <c r="W320" s="143"/>
    </row>
    <row r="321" spans="1:23" ht="15.75" customHeight="1">
      <c r="A321" s="114"/>
      <c r="B321" s="106"/>
      <c r="C321" s="107"/>
      <c r="D321" s="20">
        <f t="shared" ref="D321:D330" si="189">D320+C321</f>
        <v>-1459</v>
      </c>
      <c r="E321" s="118"/>
      <c r="F321" s="117"/>
      <c r="G321" s="19">
        <f t="shared" ref="G321:G330" si="190">G320+F321</f>
        <v>-1459</v>
      </c>
      <c r="H321" s="116"/>
      <c r="I321" s="107"/>
      <c r="J321" s="26">
        <f t="shared" ref="J321:J330" si="191">J320+I321</f>
        <v>-1459</v>
      </c>
      <c r="K321" s="117"/>
      <c r="L321" s="117"/>
      <c r="M321" s="38">
        <f t="shared" ref="M321:M330" si="192">M320+L321</f>
        <v>-1459</v>
      </c>
      <c r="N321" s="106"/>
      <c r="O321" s="107"/>
      <c r="P321" s="26">
        <f t="shared" ref="P321:P330" si="193">P320+O321</f>
        <v>-1459</v>
      </c>
      <c r="Q321" s="117"/>
      <c r="R321" s="117"/>
      <c r="S321" s="19">
        <f t="shared" ref="S321:S330" si="194">S320+R321</f>
        <v>-1459</v>
      </c>
      <c r="T321" s="116"/>
      <c r="U321" s="107"/>
      <c r="V321" s="20">
        <f t="shared" ref="V321:V330" si="195">V320+U321</f>
        <v>-1459</v>
      </c>
      <c r="W321" s="143"/>
    </row>
    <row r="322" spans="1:23" ht="15.75" customHeight="1">
      <c r="A322" s="114"/>
      <c r="B322" s="106"/>
      <c r="C322" s="107"/>
      <c r="D322" s="20">
        <f t="shared" si="189"/>
        <v>-1459</v>
      </c>
      <c r="E322" s="118"/>
      <c r="F322" s="117"/>
      <c r="G322" s="19">
        <f t="shared" si="190"/>
        <v>-1459</v>
      </c>
      <c r="H322" s="116"/>
      <c r="I322" s="107"/>
      <c r="J322" s="26">
        <f t="shared" si="191"/>
        <v>-1459</v>
      </c>
      <c r="K322" s="117"/>
      <c r="L322" s="117"/>
      <c r="M322" s="38">
        <f t="shared" si="192"/>
        <v>-1459</v>
      </c>
      <c r="N322" s="106"/>
      <c r="O322" s="107"/>
      <c r="P322" s="26">
        <f t="shared" si="193"/>
        <v>-1459</v>
      </c>
      <c r="Q322" s="117"/>
      <c r="R322" s="117"/>
      <c r="S322" s="19">
        <f t="shared" si="194"/>
        <v>-1459</v>
      </c>
      <c r="T322" s="116"/>
      <c r="U322" s="107"/>
      <c r="V322" s="20">
        <f t="shared" si="195"/>
        <v>-1459</v>
      </c>
      <c r="W322" s="143"/>
    </row>
    <row r="323" spans="1:23" ht="15.75" customHeight="1">
      <c r="A323" s="114"/>
      <c r="B323" s="106"/>
      <c r="C323" s="107"/>
      <c r="D323" s="20">
        <f t="shared" si="189"/>
        <v>-1459</v>
      </c>
      <c r="E323" s="118"/>
      <c r="F323" s="117"/>
      <c r="G323" s="19">
        <f t="shared" si="190"/>
        <v>-1459</v>
      </c>
      <c r="H323" s="116"/>
      <c r="I323" s="107"/>
      <c r="J323" s="26">
        <f t="shared" si="191"/>
        <v>-1459</v>
      </c>
      <c r="K323" s="117"/>
      <c r="L323" s="117"/>
      <c r="M323" s="38">
        <f t="shared" si="192"/>
        <v>-1459</v>
      </c>
      <c r="N323" s="106"/>
      <c r="O323" s="107"/>
      <c r="P323" s="26">
        <f t="shared" si="193"/>
        <v>-1459</v>
      </c>
      <c r="Q323" s="117"/>
      <c r="R323" s="117"/>
      <c r="S323" s="19">
        <f t="shared" si="194"/>
        <v>-1459</v>
      </c>
      <c r="T323" s="116"/>
      <c r="U323" s="107"/>
      <c r="V323" s="20">
        <f t="shared" si="195"/>
        <v>-1459</v>
      </c>
      <c r="W323" s="143"/>
    </row>
    <row r="324" spans="1:23" ht="15.75" customHeight="1">
      <c r="A324" s="114"/>
      <c r="B324" s="106"/>
      <c r="C324" s="107"/>
      <c r="D324" s="20">
        <f t="shared" si="189"/>
        <v>-1459</v>
      </c>
      <c r="E324" s="118"/>
      <c r="F324" s="117"/>
      <c r="G324" s="19">
        <f t="shared" si="190"/>
        <v>-1459</v>
      </c>
      <c r="H324" s="116"/>
      <c r="I324" s="107"/>
      <c r="J324" s="26">
        <f t="shared" si="191"/>
        <v>-1459</v>
      </c>
      <c r="K324" s="117"/>
      <c r="L324" s="117"/>
      <c r="M324" s="38">
        <f t="shared" si="192"/>
        <v>-1459</v>
      </c>
      <c r="N324" s="106"/>
      <c r="O324" s="107"/>
      <c r="P324" s="26">
        <f t="shared" si="193"/>
        <v>-1459</v>
      </c>
      <c r="Q324" s="117"/>
      <c r="R324" s="117"/>
      <c r="S324" s="19">
        <f t="shared" si="194"/>
        <v>-1459</v>
      </c>
      <c r="T324" s="116"/>
      <c r="U324" s="107"/>
      <c r="V324" s="20">
        <f t="shared" si="195"/>
        <v>-1459</v>
      </c>
      <c r="W324" s="143"/>
    </row>
    <row r="325" spans="1:23" ht="15.75" customHeight="1">
      <c r="A325" s="114"/>
      <c r="B325" s="106"/>
      <c r="C325" s="107"/>
      <c r="D325" s="20">
        <f t="shared" si="189"/>
        <v>-1459</v>
      </c>
      <c r="E325" s="118"/>
      <c r="F325" s="117"/>
      <c r="G325" s="19">
        <f t="shared" si="190"/>
        <v>-1459</v>
      </c>
      <c r="H325" s="116"/>
      <c r="I325" s="107"/>
      <c r="J325" s="26">
        <f t="shared" si="191"/>
        <v>-1459</v>
      </c>
      <c r="K325" s="117"/>
      <c r="L325" s="117"/>
      <c r="M325" s="38">
        <f t="shared" si="192"/>
        <v>-1459</v>
      </c>
      <c r="N325" s="106"/>
      <c r="O325" s="107"/>
      <c r="P325" s="26">
        <f t="shared" si="193"/>
        <v>-1459</v>
      </c>
      <c r="Q325" s="117"/>
      <c r="R325" s="117"/>
      <c r="S325" s="19">
        <f t="shared" si="194"/>
        <v>-1459</v>
      </c>
      <c r="T325" s="116"/>
      <c r="U325" s="107"/>
      <c r="V325" s="20">
        <f t="shared" si="195"/>
        <v>-1459</v>
      </c>
      <c r="W325" s="143"/>
    </row>
    <row r="326" spans="1:23" ht="15.75" customHeight="1">
      <c r="A326" s="114"/>
      <c r="B326" s="106"/>
      <c r="C326" s="107"/>
      <c r="D326" s="20">
        <f t="shared" si="189"/>
        <v>-1459</v>
      </c>
      <c r="E326" s="118"/>
      <c r="F326" s="117"/>
      <c r="G326" s="19">
        <f t="shared" si="190"/>
        <v>-1459</v>
      </c>
      <c r="H326" s="116"/>
      <c r="I326" s="107"/>
      <c r="J326" s="26">
        <f t="shared" si="191"/>
        <v>-1459</v>
      </c>
      <c r="K326" s="117"/>
      <c r="L326" s="117"/>
      <c r="M326" s="38">
        <f t="shared" si="192"/>
        <v>-1459</v>
      </c>
      <c r="N326" s="106"/>
      <c r="O326" s="107"/>
      <c r="P326" s="26">
        <f t="shared" si="193"/>
        <v>-1459</v>
      </c>
      <c r="Q326" s="117"/>
      <c r="R326" s="117"/>
      <c r="S326" s="19">
        <f t="shared" si="194"/>
        <v>-1459</v>
      </c>
      <c r="T326" s="116"/>
      <c r="U326" s="107"/>
      <c r="V326" s="20">
        <f t="shared" si="195"/>
        <v>-1459</v>
      </c>
      <c r="W326" s="143"/>
    </row>
    <row r="327" spans="1:23" ht="15.75" customHeight="1">
      <c r="A327" s="114"/>
      <c r="B327" s="106"/>
      <c r="C327" s="107"/>
      <c r="D327" s="20">
        <f t="shared" si="189"/>
        <v>-1459</v>
      </c>
      <c r="E327" s="118"/>
      <c r="F327" s="117"/>
      <c r="G327" s="19">
        <f t="shared" si="190"/>
        <v>-1459</v>
      </c>
      <c r="H327" s="116"/>
      <c r="I327" s="107"/>
      <c r="J327" s="26">
        <f t="shared" si="191"/>
        <v>-1459</v>
      </c>
      <c r="K327" s="117"/>
      <c r="L327" s="117"/>
      <c r="M327" s="38">
        <f t="shared" si="192"/>
        <v>-1459</v>
      </c>
      <c r="N327" s="106"/>
      <c r="O327" s="107"/>
      <c r="P327" s="26">
        <f t="shared" si="193"/>
        <v>-1459</v>
      </c>
      <c r="Q327" s="117"/>
      <c r="R327" s="117"/>
      <c r="S327" s="19">
        <f t="shared" si="194"/>
        <v>-1459</v>
      </c>
      <c r="T327" s="116"/>
      <c r="U327" s="107"/>
      <c r="V327" s="20">
        <f t="shared" si="195"/>
        <v>-1459</v>
      </c>
      <c r="W327" s="143"/>
    </row>
    <row r="328" spans="1:23" ht="15.75" customHeight="1">
      <c r="A328" s="114"/>
      <c r="B328" s="122"/>
      <c r="C328" s="123"/>
      <c r="D328" s="20">
        <f t="shared" si="189"/>
        <v>-1459</v>
      </c>
      <c r="E328" s="118"/>
      <c r="F328" s="117"/>
      <c r="G328" s="19">
        <f t="shared" si="190"/>
        <v>-1459</v>
      </c>
      <c r="H328" s="124"/>
      <c r="I328" s="123"/>
      <c r="J328" s="26">
        <f t="shared" si="191"/>
        <v>-1459</v>
      </c>
      <c r="K328" s="117"/>
      <c r="L328" s="117"/>
      <c r="M328" s="38">
        <f t="shared" si="192"/>
        <v>-1459</v>
      </c>
      <c r="N328" s="122"/>
      <c r="O328" s="123"/>
      <c r="P328" s="26">
        <f t="shared" si="193"/>
        <v>-1459</v>
      </c>
      <c r="Q328" s="117"/>
      <c r="R328" s="117"/>
      <c r="S328" s="19">
        <f t="shared" si="194"/>
        <v>-1459</v>
      </c>
      <c r="T328" s="116"/>
      <c r="U328" s="107"/>
      <c r="V328" s="20">
        <f t="shared" si="195"/>
        <v>-1459</v>
      </c>
      <c r="W328" s="143"/>
    </row>
    <row r="329" spans="1:23" ht="15.75" customHeight="1">
      <c r="A329" s="114"/>
      <c r="B329" s="122"/>
      <c r="C329" s="123"/>
      <c r="D329" s="20">
        <f t="shared" si="189"/>
        <v>-1459</v>
      </c>
      <c r="E329" s="118"/>
      <c r="F329" s="117"/>
      <c r="G329" s="19">
        <f t="shared" si="190"/>
        <v>-1459</v>
      </c>
      <c r="H329" s="124"/>
      <c r="I329" s="123"/>
      <c r="J329" s="26">
        <f t="shared" si="191"/>
        <v>-1459</v>
      </c>
      <c r="K329" s="117"/>
      <c r="L329" s="117"/>
      <c r="M329" s="38">
        <f t="shared" si="192"/>
        <v>-1459</v>
      </c>
      <c r="N329" s="122"/>
      <c r="O329" s="123"/>
      <c r="P329" s="26">
        <f t="shared" si="193"/>
        <v>-1459</v>
      </c>
      <c r="Q329" s="117"/>
      <c r="R329" s="117"/>
      <c r="S329" s="19">
        <f t="shared" si="194"/>
        <v>-1459</v>
      </c>
      <c r="T329" s="124"/>
      <c r="U329" s="124"/>
      <c r="V329" s="20">
        <f t="shared" si="195"/>
        <v>-1459</v>
      </c>
      <c r="W329" s="143"/>
    </row>
    <row r="330" spans="1:23" ht="15.75" customHeight="1">
      <c r="A330" s="114"/>
      <c r="B330" s="122"/>
      <c r="C330" s="123"/>
      <c r="D330" s="49">
        <f t="shared" si="189"/>
        <v>-1459</v>
      </c>
      <c r="E330" s="154"/>
      <c r="F330" s="128"/>
      <c r="G330" s="29">
        <f t="shared" si="190"/>
        <v>-1459</v>
      </c>
      <c r="H330" s="124"/>
      <c r="I330" s="123"/>
      <c r="J330" s="39">
        <f t="shared" si="191"/>
        <v>-1459</v>
      </c>
      <c r="K330" s="128"/>
      <c r="L330" s="128"/>
      <c r="M330" s="40">
        <f t="shared" si="192"/>
        <v>-1459</v>
      </c>
      <c r="N330" s="122"/>
      <c r="O330" s="123"/>
      <c r="P330" s="39">
        <f t="shared" si="193"/>
        <v>-1459</v>
      </c>
      <c r="Q330" s="128"/>
      <c r="R330" s="128"/>
      <c r="S330" s="29">
        <f t="shared" si="194"/>
        <v>-1459</v>
      </c>
      <c r="T330" s="124"/>
      <c r="U330" s="123"/>
      <c r="V330" s="49">
        <f t="shared" si="195"/>
        <v>-1459</v>
      </c>
      <c r="W330" s="143"/>
    </row>
    <row r="331" spans="1:23" ht="15.75" customHeight="1">
      <c r="A331" s="87"/>
      <c r="B331" s="77">
        <f ca="1">IFERROR(__xludf.DUMMYFUNCTION("DATE(VALUE(LEFT($B$2,4)),VALUE(MID($B$2,6,2)),VALUE(RIGHT($B$2,2)))
+ (VALUE(REGEXEXTRACT(INDIRECT(""A""&amp;ROW()+1),""\d+""))-1)*7
+ INT((COLUMN()-COLUMN($B331))/3)
"),47678)</f>
        <v>47678</v>
      </c>
      <c r="C331" s="81"/>
      <c r="D331" s="82"/>
      <c r="E331" s="77">
        <f ca="1">IFERROR(__xludf.DUMMYFUNCTION("DATE(VALUE(LEFT($B$2,4)),VALUE(MID($B$2,6,2)),VALUE(RIGHT($B$2,2)))
+ (VALUE(REGEXEXTRACT(INDIRECT(""A""&amp;ROW()+1),""\d+""))-1)*7
+ INT((COLUMN()-COLUMN($B331))/3)
"),47679)</f>
        <v>47679</v>
      </c>
      <c r="F331" s="81"/>
      <c r="G331" s="82"/>
      <c r="H331" s="77">
        <f ca="1">IFERROR(__xludf.DUMMYFUNCTION("DATE(VALUE(LEFT($B$2,4)),VALUE(MID($B$2,6,2)),VALUE(RIGHT($B$2,2)))
+ (VALUE(REGEXEXTRACT(INDIRECT(""A""&amp;ROW()+1),""\d+""))-1)*7
+ INT((COLUMN()-COLUMN($B331))/3)
"),47680)</f>
        <v>47680</v>
      </c>
      <c r="I331" s="81"/>
      <c r="J331" s="82"/>
      <c r="K331" s="77">
        <f ca="1">IFERROR(__xludf.DUMMYFUNCTION("DATE(VALUE(LEFT($B$2,4)),VALUE(MID($B$2,6,2)),VALUE(RIGHT($B$2,2)))
+ (VALUE(REGEXEXTRACT(INDIRECT(""A""&amp;ROW()+1),""\d+""))-1)*7
+ INT((COLUMN()-COLUMN($B331))/3)
"),47681)</f>
        <v>47681</v>
      </c>
      <c r="L331" s="81"/>
      <c r="M331" s="82"/>
      <c r="N331" s="77">
        <f ca="1">IFERROR(__xludf.DUMMYFUNCTION("DATE(VALUE(LEFT($B$2,4)),VALUE(MID($B$2,6,2)),VALUE(RIGHT($B$2,2)))
+ (VALUE(REGEXEXTRACT(INDIRECT(""A""&amp;ROW()+1),""\d+""))-1)*7
+ INT((COLUMN()-COLUMN($B331))/3)
"),47682)</f>
        <v>47682</v>
      </c>
      <c r="O331" s="81"/>
      <c r="P331" s="82"/>
      <c r="Q331" s="77">
        <f ca="1">IFERROR(__xludf.DUMMYFUNCTION("DATE(VALUE(LEFT($B$2,4)),VALUE(MID($B$2,6,2)),VALUE(RIGHT($B$2,2)))
+ (VALUE(REGEXEXTRACT(INDIRECT(""A""&amp;ROW()+1),""\d+""))-1)*7
+ INT((COLUMN()-COLUMN($B331))/3)
"),47683)</f>
        <v>47683</v>
      </c>
      <c r="R331" s="81"/>
      <c r="S331" s="82"/>
      <c r="T331" s="77">
        <f ca="1">IFERROR(__xludf.DUMMYFUNCTION("DATE(VALUE(LEFT($B$2,4)),VALUE(MID($B$2,6,2)),VALUE(RIGHT($B$2,2)))
+ (VALUE(REGEXEXTRACT(INDIRECT(""A""&amp;ROW()+1),""\d+""))-1)*7
+ INT((COLUMN()-COLUMN($B331))/3)
"),47684)</f>
        <v>47684</v>
      </c>
      <c r="U331" s="81"/>
      <c r="V331" s="82"/>
      <c r="W331" s="52" t="s">
        <v>20</v>
      </c>
    </row>
    <row r="332" spans="1:23" ht="15.75" customHeight="1">
      <c r="A332" s="47" t="s">
        <v>157</v>
      </c>
      <c r="B332" s="113"/>
      <c r="C332" s="109"/>
      <c r="D332" s="50">
        <f>V330+C332</f>
        <v>-1459</v>
      </c>
      <c r="E332" s="112"/>
      <c r="F332" s="111"/>
      <c r="G332" s="17">
        <f>D342+F332</f>
        <v>-1459</v>
      </c>
      <c r="H332" s="132"/>
      <c r="I332" s="109"/>
      <c r="J332" s="42">
        <f>G342+I332</f>
        <v>-1459</v>
      </c>
      <c r="K332" s="112"/>
      <c r="L332" s="111"/>
      <c r="M332" s="18">
        <f>J342+L332</f>
        <v>-1459</v>
      </c>
      <c r="N332" s="109"/>
      <c r="O332" s="109"/>
      <c r="P332" s="35">
        <f>M342+O332</f>
        <v>-1459</v>
      </c>
      <c r="Q332" s="112"/>
      <c r="R332" s="111"/>
      <c r="S332" s="17">
        <f>P342+R332</f>
        <v>-1459</v>
      </c>
      <c r="T332" s="176"/>
      <c r="U332" s="173"/>
      <c r="V332" s="50">
        <f>S342+U332</f>
        <v>-1459</v>
      </c>
      <c r="W332" s="172"/>
    </row>
    <row r="333" spans="1:23" ht="15.75" customHeight="1">
      <c r="A333" s="114"/>
      <c r="B333" s="118"/>
      <c r="C333" s="117"/>
      <c r="D333" s="45">
        <f t="shared" ref="D333:D342" si="196">D332+C333</f>
        <v>-1459</v>
      </c>
      <c r="E333" s="106"/>
      <c r="F333" s="107"/>
      <c r="G333" s="26">
        <f t="shared" ref="G333:G342" si="197">G332+F333</f>
        <v>-1459</v>
      </c>
      <c r="H333" s="133"/>
      <c r="I333" s="117"/>
      <c r="J333" s="19">
        <f t="shared" ref="J333:J342" si="198">J332+I333</f>
        <v>-1459</v>
      </c>
      <c r="K333" s="106"/>
      <c r="L333" s="107"/>
      <c r="M333" s="26">
        <f t="shared" ref="M333:M342" si="199">M332+L333</f>
        <v>-1459</v>
      </c>
      <c r="N333" s="117"/>
      <c r="O333" s="117"/>
      <c r="P333" s="38">
        <f t="shared" ref="P333:P342" si="200">P332+O333</f>
        <v>-1459</v>
      </c>
      <c r="Q333" s="106"/>
      <c r="R333" s="107"/>
      <c r="S333" s="26">
        <f t="shared" ref="S333:S342" si="201">S332+R333</f>
        <v>-1459</v>
      </c>
      <c r="T333" s="177"/>
      <c r="U333" s="136"/>
      <c r="V333" s="45">
        <f t="shared" ref="V333:V342" si="202">V332+U333</f>
        <v>-1459</v>
      </c>
      <c r="W333" s="143"/>
    </row>
    <row r="334" spans="1:23" ht="15.75" customHeight="1">
      <c r="A334" s="114"/>
      <c r="B334" s="118"/>
      <c r="C334" s="117"/>
      <c r="D334" s="45">
        <f t="shared" si="196"/>
        <v>-1459</v>
      </c>
      <c r="E334" s="106"/>
      <c r="F334" s="107"/>
      <c r="G334" s="26">
        <f t="shared" si="197"/>
        <v>-1459</v>
      </c>
      <c r="H334" s="133"/>
      <c r="I334" s="117"/>
      <c r="J334" s="19">
        <f t="shared" si="198"/>
        <v>-1459</v>
      </c>
      <c r="K334" s="106"/>
      <c r="L334" s="107"/>
      <c r="M334" s="26">
        <f t="shared" si="199"/>
        <v>-1459</v>
      </c>
      <c r="N334" s="117"/>
      <c r="O334" s="117"/>
      <c r="P334" s="38">
        <f t="shared" si="200"/>
        <v>-1459</v>
      </c>
      <c r="Q334" s="106"/>
      <c r="R334" s="107"/>
      <c r="S334" s="26">
        <f t="shared" si="201"/>
        <v>-1459</v>
      </c>
      <c r="T334" s="177"/>
      <c r="U334" s="136"/>
      <c r="V334" s="45">
        <f t="shared" si="202"/>
        <v>-1459</v>
      </c>
      <c r="W334" s="143"/>
    </row>
    <row r="335" spans="1:23" ht="15.75" customHeight="1">
      <c r="A335" s="114"/>
      <c r="B335" s="118"/>
      <c r="C335" s="117"/>
      <c r="D335" s="45">
        <f t="shared" si="196"/>
        <v>-1459</v>
      </c>
      <c r="E335" s="106"/>
      <c r="F335" s="107"/>
      <c r="G335" s="26">
        <f t="shared" si="197"/>
        <v>-1459</v>
      </c>
      <c r="H335" s="133"/>
      <c r="I335" s="117"/>
      <c r="J335" s="19">
        <f t="shared" si="198"/>
        <v>-1459</v>
      </c>
      <c r="K335" s="106"/>
      <c r="L335" s="107"/>
      <c r="M335" s="26">
        <f t="shared" si="199"/>
        <v>-1459</v>
      </c>
      <c r="N335" s="117"/>
      <c r="O335" s="117"/>
      <c r="P335" s="38">
        <f t="shared" si="200"/>
        <v>-1459</v>
      </c>
      <c r="Q335" s="106"/>
      <c r="R335" s="107"/>
      <c r="S335" s="26">
        <f t="shared" si="201"/>
        <v>-1459</v>
      </c>
      <c r="T335" s="177"/>
      <c r="U335" s="136"/>
      <c r="V335" s="45">
        <f t="shared" si="202"/>
        <v>-1459</v>
      </c>
      <c r="W335" s="143"/>
    </row>
    <row r="336" spans="1:23" ht="15.75" customHeight="1">
      <c r="A336" s="114"/>
      <c r="B336" s="118"/>
      <c r="C336" s="117"/>
      <c r="D336" s="45">
        <f t="shared" si="196"/>
        <v>-1459</v>
      </c>
      <c r="E336" s="106"/>
      <c r="F336" s="107"/>
      <c r="G336" s="26">
        <f t="shared" si="197"/>
        <v>-1459</v>
      </c>
      <c r="H336" s="133"/>
      <c r="I336" s="117"/>
      <c r="J336" s="19">
        <f t="shared" si="198"/>
        <v>-1459</v>
      </c>
      <c r="K336" s="106"/>
      <c r="L336" s="107"/>
      <c r="M336" s="26">
        <f t="shared" si="199"/>
        <v>-1459</v>
      </c>
      <c r="N336" s="117"/>
      <c r="O336" s="117"/>
      <c r="P336" s="38">
        <f t="shared" si="200"/>
        <v>-1459</v>
      </c>
      <c r="Q336" s="106"/>
      <c r="R336" s="107"/>
      <c r="S336" s="26">
        <f t="shared" si="201"/>
        <v>-1459</v>
      </c>
      <c r="T336" s="177"/>
      <c r="U336" s="136"/>
      <c r="V336" s="45">
        <f t="shared" si="202"/>
        <v>-1459</v>
      </c>
      <c r="W336" s="143"/>
    </row>
    <row r="337" spans="1:23" ht="15.75" customHeight="1">
      <c r="A337" s="114"/>
      <c r="B337" s="118"/>
      <c r="C337" s="117"/>
      <c r="D337" s="45">
        <f t="shared" si="196"/>
        <v>-1459</v>
      </c>
      <c r="E337" s="106"/>
      <c r="F337" s="107"/>
      <c r="G337" s="26">
        <f t="shared" si="197"/>
        <v>-1459</v>
      </c>
      <c r="H337" s="133"/>
      <c r="I337" s="117"/>
      <c r="J337" s="19">
        <f t="shared" si="198"/>
        <v>-1459</v>
      </c>
      <c r="K337" s="106"/>
      <c r="L337" s="107"/>
      <c r="M337" s="26">
        <f t="shared" si="199"/>
        <v>-1459</v>
      </c>
      <c r="N337" s="117"/>
      <c r="O337" s="117"/>
      <c r="P337" s="38">
        <f t="shared" si="200"/>
        <v>-1459</v>
      </c>
      <c r="Q337" s="106"/>
      <c r="R337" s="107"/>
      <c r="S337" s="26">
        <f t="shared" si="201"/>
        <v>-1459</v>
      </c>
      <c r="T337" s="177"/>
      <c r="U337" s="136"/>
      <c r="V337" s="45">
        <f t="shared" si="202"/>
        <v>-1459</v>
      </c>
      <c r="W337" s="143"/>
    </row>
    <row r="338" spans="1:23" ht="15.75" customHeight="1">
      <c r="A338" s="114"/>
      <c r="B338" s="117"/>
      <c r="C338" s="117"/>
      <c r="D338" s="45">
        <f t="shared" si="196"/>
        <v>-1459</v>
      </c>
      <c r="E338" s="106"/>
      <c r="F338" s="107"/>
      <c r="G338" s="26">
        <f t="shared" si="197"/>
        <v>-1459</v>
      </c>
      <c r="H338" s="133"/>
      <c r="I338" s="117"/>
      <c r="J338" s="19">
        <f t="shared" si="198"/>
        <v>-1459</v>
      </c>
      <c r="K338" s="106"/>
      <c r="L338" s="107"/>
      <c r="M338" s="26">
        <f t="shared" si="199"/>
        <v>-1459</v>
      </c>
      <c r="N338" s="117"/>
      <c r="O338" s="117"/>
      <c r="P338" s="38">
        <f t="shared" si="200"/>
        <v>-1459</v>
      </c>
      <c r="Q338" s="106"/>
      <c r="R338" s="107"/>
      <c r="S338" s="26">
        <f t="shared" si="201"/>
        <v>-1459</v>
      </c>
      <c r="T338" s="177"/>
      <c r="U338" s="136"/>
      <c r="V338" s="45">
        <f t="shared" si="202"/>
        <v>-1459</v>
      </c>
      <c r="W338" s="143"/>
    </row>
    <row r="339" spans="1:23" ht="15.75" customHeight="1">
      <c r="A339" s="114"/>
      <c r="B339" s="117"/>
      <c r="C339" s="117"/>
      <c r="D339" s="45">
        <f t="shared" si="196"/>
        <v>-1459</v>
      </c>
      <c r="E339" s="106"/>
      <c r="F339" s="107"/>
      <c r="G339" s="26">
        <f t="shared" si="197"/>
        <v>-1459</v>
      </c>
      <c r="H339" s="133"/>
      <c r="I339" s="117"/>
      <c r="J339" s="19">
        <f t="shared" si="198"/>
        <v>-1459</v>
      </c>
      <c r="K339" s="106"/>
      <c r="L339" s="107"/>
      <c r="M339" s="26">
        <f t="shared" si="199"/>
        <v>-1459</v>
      </c>
      <c r="N339" s="117"/>
      <c r="O339" s="117"/>
      <c r="P339" s="38">
        <f t="shared" si="200"/>
        <v>-1459</v>
      </c>
      <c r="Q339" s="106"/>
      <c r="R339" s="107"/>
      <c r="S339" s="26">
        <f t="shared" si="201"/>
        <v>-1459</v>
      </c>
      <c r="T339" s="177"/>
      <c r="U339" s="136"/>
      <c r="V339" s="45">
        <f t="shared" si="202"/>
        <v>-1459</v>
      </c>
      <c r="W339" s="143"/>
    </row>
    <row r="340" spans="1:23" ht="15.75" customHeight="1">
      <c r="A340" s="114"/>
      <c r="B340" s="117"/>
      <c r="C340" s="117"/>
      <c r="D340" s="45">
        <f t="shared" si="196"/>
        <v>-1459</v>
      </c>
      <c r="E340" s="106"/>
      <c r="F340" s="107"/>
      <c r="G340" s="26">
        <f t="shared" si="197"/>
        <v>-1459</v>
      </c>
      <c r="H340" s="133"/>
      <c r="I340" s="117"/>
      <c r="J340" s="19">
        <f t="shared" si="198"/>
        <v>-1459</v>
      </c>
      <c r="K340" s="106"/>
      <c r="L340" s="107"/>
      <c r="M340" s="26">
        <f t="shared" si="199"/>
        <v>-1459</v>
      </c>
      <c r="N340" s="117"/>
      <c r="O340" s="117"/>
      <c r="P340" s="38">
        <f t="shared" si="200"/>
        <v>-1459</v>
      </c>
      <c r="Q340" s="106"/>
      <c r="R340" s="107"/>
      <c r="S340" s="26">
        <f t="shared" si="201"/>
        <v>-1459</v>
      </c>
      <c r="T340" s="177"/>
      <c r="U340" s="136"/>
      <c r="V340" s="45">
        <f t="shared" si="202"/>
        <v>-1459</v>
      </c>
      <c r="W340" s="143"/>
    </row>
    <row r="341" spans="1:23" ht="15.75" customHeight="1">
      <c r="A341" s="114"/>
      <c r="B341" s="117"/>
      <c r="C341" s="117"/>
      <c r="D341" s="45">
        <f t="shared" si="196"/>
        <v>-1459</v>
      </c>
      <c r="E341" s="122"/>
      <c r="F341" s="123"/>
      <c r="G341" s="26">
        <f t="shared" si="197"/>
        <v>-1459</v>
      </c>
      <c r="H341" s="133"/>
      <c r="I341" s="117"/>
      <c r="J341" s="19">
        <f t="shared" si="198"/>
        <v>-1459</v>
      </c>
      <c r="K341" s="122"/>
      <c r="L341" s="123"/>
      <c r="M341" s="26">
        <f t="shared" si="199"/>
        <v>-1459</v>
      </c>
      <c r="N341" s="117"/>
      <c r="O341" s="117"/>
      <c r="P341" s="38">
        <f t="shared" si="200"/>
        <v>-1459</v>
      </c>
      <c r="Q341" s="122"/>
      <c r="R341" s="123"/>
      <c r="S341" s="26">
        <f t="shared" si="201"/>
        <v>-1459</v>
      </c>
      <c r="T341" s="177"/>
      <c r="U341" s="136"/>
      <c r="V341" s="45">
        <f t="shared" si="202"/>
        <v>-1459</v>
      </c>
      <c r="W341" s="143"/>
    </row>
    <row r="342" spans="1:23" ht="15.75" customHeight="1">
      <c r="A342" s="114"/>
      <c r="B342" s="128"/>
      <c r="C342" s="128"/>
      <c r="D342" s="46">
        <f t="shared" si="196"/>
        <v>-1459</v>
      </c>
      <c r="E342" s="122"/>
      <c r="F342" s="123"/>
      <c r="G342" s="39">
        <f t="shared" si="197"/>
        <v>-1459</v>
      </c>
      <c r="H342" s="140"/>
      <c r="I342" s="128"/>
      <c r="J342" s="29">
        <f t="shared" si="198"/>
        <v>-1459</v>
      </c>
      <c r="K342" s="122"/>
      <c r="L342" s="123"/>
      <c r="M342" s="39">
        <f t="shared" si="199"/>
        <v>-1459</v>
      </c>
      <c r="N342" s="128"/>
      <c r="O342" s="128"/>
      <c r="P342" s="40">
        <f t="shared" si="200"/>
        <v>-1459</v>
      </c>
      <c r="Q342" s="122"/>
      <c r="R342" s="123"/>
      <c r="S342" s="39">
        <f t="shared" si="201"/>
        <v>-1459</v>
      </c>
      <c r="T342" s="178"/>
      <c r="U342" s="141"/>
      <c r="V342" s="46">
        <f t="shared" si="202"/>
        <v>-1459</v>
      </c>
      <c r="W342" s="143"/>
    </row>
    <row r="343" spans="1:23" ht="15.75" customHeight="1">
      <c r="A343" s="87"/>
      <c r="B343" s="77">
        <f ca="1">IFERROR(__xludf.DUMMYFUNCTION("DATE(VALUE(LEFT($B$2,4)),VALUE(MID($B$2,6,2)),VALUE(RIGHT($B$2,2)))
+ (VALUE(REGEXEXTRACT(INDIRECT(""A""&amp;ROW()+1),""\d+""))-1)*7
+ INT((COLUMN()-COLUMN($B343))/3)
"),47685)</f>
        <v>47685</v>
      </c>
      <c r="C343" s="81"/>
      <c r="D343" s="82"/>
      <c r="E343" s="77">
        <f ca="1">IFERROR(__xludf.DUMMYFUNCTION("DATE(VALUE(LEFT($B$2,4)),VALUE(MID($B$2,6,2)),VALUE(RIGHT($B$2,2)))
+ (VALUE(REGEXEXTRACT(INDIRECT(""A""&amp;ROW()+1),""\d+""))-1)*7
+ INT((COLUMN()-COLUMN($B343))/3)
"),47686)</f>
        <v>47686</v>
      </c>
      <c r="F343" s="81"/>
      <c r="G343" s="82"/>
      <c r="H343" s="77">
        <f ca="1">IFERROR(__xludf.DUMMYFUNCTION("DATE(VALUE(LEFT($B$2,4)),VALUE(MID($B$2,6,2)),VALUE(RIGHT($B$2,2)))
+ (VALUE(REGEXEXTRACT(INDIRECT(""A""&amp;ROW()+1),""\d+""))-1)*7
+ INT((COLUMN()-COLUMN($B343))/3)
"),47687)</f>
        <v>47687</v>
      </c>
      <c r="I343" s="81"/>
      <c r="J343" s="82"/>
      <c r="K343" s="77">
        <f ca="1">IFERROR(__xludf.DUMMYFUNCTION("DATE(VALUE(LEFT($B$2,4)),VALUE(MID($B$2,6,2)),VALUE(RIGHT($B$2,2)))
+ (VALUE(REGEXEXTRACT(INDIRECT(""A""&amp;ROW()+1),""\d+""))-1)*7
+ INT((COLUMN()-COLUMN($B343))/3)
"),47688)</f>
        <v>47688</v>
      </c>
      <c r="L343" s="81"/>
      <c r="M343" s="82"/>
      <c r="N343" s="77">
        <f ca="1">IFERROR(__xludf.DUMMYFUNCTION("DATE(VALUE(LEFT($B$2,4)),VALUE(MID($B$2,6,2)),VALUE(RIGHT($B$2,2)))
+ (VALUE(REGEXEXTRACT(INDIRECT(""A""&amp;ROW()+1),""\d+""))-1)*7
+ INT((COLUMN()-COLUMN($B343))/3)
"),47689)</f>
        <v>47689</v>
      </c>
      <c r="O343" s="81"/>
      <c r="P343" s="82"/>
      <c r="Q343" s="77">
        <f ca="1">IFERROR(__xludf.DUMMYFUNCTION("DATE(VALUE(LEFT($B$2,4)),VALUE(MID($B$2,6,2)),VALUE(RIGHT($B$2,2)))
+ (VALUE(REGEXEXTRACT(INDIRECT(""A""&amp;ROW()+1),""\d+""))-1)*7
+ INT((COLUMN()-COLUMN($B343))/3)
"),47690)</f>
        <v>47690</v>
      </c>
      <c r="R343" s="81"/>
      <c r="S343" s="82"/>
      <c r="T343" s="77">
        <f ca="1">IFERROR(__xludf.DUMMYFUNCTION("DATE(VALUE(LEFT($B$2,4)),VALUE(MID($B$2,6,2)),VALUE(RIGHT($B$2,2)))
+ (VALUE(REGEXEXTRACT(INDIRECT(""A""&amp;ROW()+1),""\d+""))-1)*7
+ INT((COLUMN()-COLUMN($B343))/3)
"),47691)</f>
        <v>47691</v>
      </c>
      <c r="U343" s="81"/>
      <c r="V343" s="82"/>
      <c r="W343" s="143"/>
    </row>
    <row r="344" spans="1:23" ht="15.75" customHeight="1">
      <c r="A344" s="51" t="s">
        <v>158</v>
      </c>
      <c r="B344" s="112"/>
      <c r="C344" s="111"/>
      <c r="D344" s="48">
        <f>V342+C344</f>
        <v>-1459</v>
      </c>
      <c r="E344" s="113"/>
      <c r="F344" s="109"/>
      <c r="G344" s="42">
        <f>D354+F344</f>
        <v>-1459</v>
      </c>
      <c r="H344" s="110"/>
      <c r="I344" s="111"/>
      <c r="J344" s="17">
        <f>G354+I344</f>
        <v>-1459</v>
      </c>
      <c r="K344" s="109"/>
      <c r="L344" s="109"/>
      <c r="M344" s="35">
        <f>J354+L344</f>
        <v>-1459</v>
      </c>
      <c r="N344" s="112"/>
      <c r="O344" s="111"/>
      <c r="P344" s="17">
        <f>M354+O344</f>
        <v>-1459</v>
      </c>
      <c r="Q344" s="109"/>
      <c r="R344" s="109"/>
      <c r="S344" s="42">
        <f>P354+R344</f>
        <v>-1459</v>
      </c>
      <c r="T344" s="110"/>
      <c r="U344" s="111"/>
      <c r="V344" s="48">
        <f>S354+U344</f>
        <v>-1459</v>
      </c>
      <c r="W344" s="143"/>
    </row>
    <row r="345" spans="1:23" ht="15.75" customHeight="1">
      <c r="A345" s="114"/>
      <c r="B345" s="106"/>
      <c r="C345" s="107"/>
      <c r="D345" s="20">
        <f t="shared" ref="D345:D354" si="203">D344+C345</f>
        <v>-1459</v>
      </c>
      <c r="E345" s="118"/>
      <c r="F345" s="117"/>
      <c r="G345" s="19">
        <f t="shared" ref="G345:G354" si="204">G344+F345</f>
        <v>-1459</v>
      </c>
      <c r="H345" s="116"/>
      <c r="I345" s="107"/>
      <c r="J345" s="26">
        <f t="shared" ref="J345:J354" si="205">J344+I345</f>
        <v>-1459</v>
      </c>
      <c r="K345" s="117"/>
      <c r="L345" s="117"/>
      <c r="M345" s="38">
        <f t="shared" ref="M345:M354" si="206">M344+L345</f>
        <v>-1459</v>
      </c>
      <c r="N345" s="106"/>
      <c r="O345" s="107"/>
      <c r="P345" s="26">
        <f t="shared" ref="P345:P354" si="207">P344+O345</f>
        <v>-1459</v>
      </c>
      <c r="Q345" s="117"/>
      <c r="R345" s="117"/>
      <c r="S345" s="19">
        <f t="shared" ref="S345:S354" si="208">S344+R345</f>
        <v>-1459</v>
      </c>
      <c r="T345" s="116"/>
      <c r="U345" s="107"/>
      <c r="V345" s="20">
        <f t="shared" ref="V345:V354" si="209">V344+U345</f>
        <v>-1459</v>
      </c>
      <c r="W345" s="143"/>
    </row>
    <row r="346" spans="1:23" ht="15.75" customHeight="1">
      <c r="A346" s="114"/>
      <c r="B346" s="106"/>
      <c r="C346" s="107"/>
      <c r="D346" s="20">
        <f t="shared" si="203"/>
        <v>-1459</v>
      </c>
      <c r="E346" s="118"/>
      <c r="F346" s="117"/>
      <c r="G346" s="19">
        <f t="shared" si="204"/>
        <v>-1459</v>
      </c>
      <c r="H346" s="116"/>
      <c r="I346" s="107"/>
      <c r="J346" s="26">
        <f t="shared" si="205"/>
        <v>-1459</v>
      </c>
      <c r="K346" s="117"/>
      <c r="L346" s="117"/>
      <c r="M346" s="38">
        <f t="shared" si="206"/>
        <v>-1459</v>
      </c>
      <c r="N346" s="106"/>
      <c r="O346" s="107"/>
      <c r="P346" s="26">
        <f t="shared" si="207"/>
        <v>-1459</v>
      </c>
      <c r="Q346" s="117"/>
      <c r="R346" s="117"/>
      <c r="S346" s="19">
        <f t="shared" si="208"/>
        <v>-1459</v>
      </c>
      <c r="T346" s="116"/>
      <c r="U346" s="116"/>
      <c r="V346" s="20">
        <f t="shared" si="209"/>
        <v>-1459</v>
      </c>
      <c r="W346" s="143"/>
    </row>
    <row r="347" spans="1:23" ht="15.75" customHeight="1">
      <c r="A347" s="114"/>
      <c r="B347" s="106"/>
      <c r="C347" s="107"/>
      <c r="D347" s="20">
        <f t="shared" si="203"/>
        <v>-1459</v>
      </c>
      <c r="E347" s="118"/>
      <c r="F347" s="117"/>
      <c r="G347" s="19">
        <f t="shared" si="204"/>
        <v>-1459</v>
      </c>
      <c r="H347" s="116"/>
      <c r="I347" s="107"/>
      <c r="J347" s="26">
        <f t="shared" si="205"/>
        <v>-1459</v>
      </c>
      <c r="K347" s="117"/>
      <c r="L347" s="117"/>
      <c r="M347" s="38">
        <f t="shared" si="206"/>
        <v>-1459</v>
      </c>
      <c r="N347" s="106"/>
      <c r="O347" s="107"/>
      <c r="P347" s="26">
        <f t="shared" si="207"/>
        <v>-1459</v>
      </c>
      <c r="Q347" s="117"/>
      <c r="R347" s="117"/>
      <c r="S347" s="19">
        <f t="shared" si="208"/>
        <v>-1459</v>
      </c>
      <c r="T347" s="116"/>
      <c r="U347" s="116"/>
      <c r="V347" s="20">
        <f t="shared" si="209"/>
        <v>-1459</v>
      </c>
      <c r="W347" s="143"/>
    </row>
    <row r="348" spans="1:23" ht="15.75" customHeight="1">
      <c r="A348" s="114"/>
      <c r="B348" s="106"/>
      <c r="C348" s="107"/>
      <c r="D348" s="20">
        <f t="shared" si="203"/>
        <v>-1459</v>
      </c>
      <c r="E348" s="118"/>
      <c r="F348" s="117"/>
      <c r="G348" s="19">
        <f t="shared" si="204"/>
        <v>-1459</v>
      </c>
      <c r="H348" s="116"/>
      <c r="I348" s="107"/>
      <c r="J348" s="26">
        <f t="shared" si="205"/>
        <v>-1459</v>
      </c>
      <c r="K348" s="117"/>
      <c r="L348" s="117"/>
      <c r="M348" s="38">
        <f t="shared" si="206"/>
        <v>-1459</v>
      </c>
      <c r="N348" s="106"/>
      <c r="O348" s="107"/>
      <c r="P348" s="26">
        <f t="shared" si="207"/>
        <v>-1459</v>
      </c>
      <c r="Q348" s="117"/>
      <c r="R348" s="117"/>
      <c r="S348" s="19">
        <f t="shared" si="208"/>
        <v>-1459</v>
      </c>
      <c r="T348" s="116"/>
      <c r="U348" s="116"/>
      <c r="V348" s="20">
        <f t="shared" si="209"/>
        <v>-1459</v>
      </c>
      <c r="W348" s="143"/>
    </row>
    <row r="349" spans="1:23" ht="15.75" customHeight="1">
      <c r="A349" s="114"/>
      <c r="B349" s="106"/>
      <c r="C349" s="107"/>
      <c r="D349" s="20">
        <f t="shared" si="203"/>
        <v>-1459</v>
      </c>
      <c r="E349" s="118"/>
      <c r="F349" s="117"/>
      <c r="G349" s="19">
        <f t="shared" si="204"/>
        <v>-1459</v>
      </c>
      <c r="H349" s="116"/>
      <c r="I349" s="107"/>
      <c r="J349" s="26">
        <f t="shared" si="205"/>
        <v>-1459</v>
      </c>
      <c r="K349" s="117"/>
      <c r="L349" s="117"/>
      <c r="M349" s="38">
        <f t="shared" si="206"/>
        <v>-1459</v>
      </c>
      <c r="N349" s="106"/>
      <c r="O349" s="107"/>
      <c r="P349" s="26">
        <f t="shared" si="207"/>
        <v>-1459</v>
      </c>
      <c r="Q349" s="117"/>
      <c r="R349" s="117"/>
      <c r="S349" s="19">
        <f t="shared" si="208"/>
        <v>-1459</v>
      </c>
      <c r="T349" s="116"/>
      <c r="U349" s="116"/>
      <c r="V349" s="20">
        <f t="shared" si="209"/>
        <v>-1459</v>
      </c>
      <c r="W349" s="143"/>
    </row>
    <row r="350" spans="1:23" ht="15.75" customHeight="1">
      <c r="A350" s="114"/>
      <c r="B350" s="106"/>
      <c r="C350" s="107"/>
      <c r="D350" s="20">
        <f t="shared" si="203"/>
        <v>-1459</v>
      </c>
      <c r="E350" s="118"/>
      <c r="F350" s="117"/>
      <c r="G350" s="19">
        <f t="shared" si="204"/>
        <v>-1459</v>
      </c>
      <c r="H350" s="116"/>
      <c r="I350" s="107"/>
      <c r="J350" s="26">
        <f t="shared" si="205"/>
        <v>-1459</v>
      </c>
      <c r="K350" s="117"/>
      <c r="L350" s="117"/>
      <c r="M350" s="38">
        <f t="shared" si="206"/>
        <v>-1459</v>
      </c>
      <c r="N350" s="106"/>
      <c r="O350" s="107"/>
      <c r="P350" s="26">
        <f t="shared" si="207"/>
        <v>-1459</v>
      </c>
      <c r="Q350" s="117"/>
      <c r="R350" s="117"/>
      <c r="S350" s="19">
        <f t="shared" si="208"/>
        <v>-1459</v>
      </c>
      <c r="T350" s="116"/>
      <c r="U350" s="116"/>
      <c r="V350" s="20">
        <f t="shared" si="209"/>
        <v>-1459</v>
      </c>
      <c r="W350" s="143"/>
    </row>
    <row r="351" spans="1:23" ht="15.75" customHeight="1">
      <c r="A351" s="114"/>
      <c r="B351" s="106"/>
      <c r="C351" s="107"/>
      <c r="D351" s="20">
        <f t="shared" si="203"/>
        <v>-1459</v>
      </c>
      <c r="E351" s="118"/>
      <c r="F351" s="117"/>
      <c r="G351" s="19">
        <f t="shared" si="204"/>
        <v>-1459</v>
      </c>
      <c r="H351" s="116"/>
      <c r="I351" s="107"/>
      <c r="J351" s="26">
        <f t="shared" si="205"/>
        <v>-1459</v>
      </c>
      <c r="K351" s="117"/>
      <c r="L351" s="117"/>
      <c r="M351" s="38">
        <f t="shared" si="206"/>
        <v>-1459</v>
      </c>
      <c r="N351" s="106"/>
      <c r="O351" s="107"/>
      <c r="P351" s="26">
        <f t="shared" si="207"/>
        <v>-1459</v>
      </c>
      <c r="Q351" s="117"/>
      <c r="R351" s="117"/>
      <c r="S351" s="19">
        <f t="shared" si="208"/>
        <v>-1459</v>
      </c>
      <c r="T351" s="116"/>
      <c r="U351" s="116"/>
      <c r="V351" s="20">
        <f t="shared" si="209"/>
        <v>-1459</v>
      </c>
      <c r="W351" s="143"/>
    </row>
    <row r="352" spans="1:23" ht="15.75" customHeight="1">
      <c r="A352" s="114"/>
      <c r="B352" s="122"/>
      <c r="C352" s="123"/>
      <c r="D352" s="20">
        <f t="shared" si="203"/>
        <v>-1459</v>
      </c>
      <c r="E352" s="118"/>
      <c r="F352" s="117"/>
      <c r="G352" s="19">
        <f t="shared" si="204"/>
        <v>-1459</v>
      </c>
      <c r="H352" s="124"/>
      <c r="I352" s="123"/>
      <c r="J352" s="26">
        <f t="shared" si="205"/>
        <v>-1459</v>
      </c>
      <c r="K352" s="117"/>
      <c r="L352" s="117"/>
      <c r="M352" s="38">
        <f t="shared" si="206"/>
        <v>-1459</v>
      </c>
      <c r="N352" s="122"/>
      <c r="O352" s="123"/>
      <c r="P352" s="26">
        <f t="shared" si="207"/>
        <v>-1459</v>
      </c>
      <c r="Q352" s="117"/>
      <c r="R352" s="117"/>
      <c r="S352" s="19">
        <f t="shared" si="208"/>
        <v>-1459</v>
      </c>
      <c r="T352" s="116"/>
      <c r="U352" s="116"/>
      <c r="V352" s="20">
        <f t="shared" si="209"/>
        <v>-1459</v>
      </c>
      <c r="W352" s="143"/>
    </row>
    <row r="353" spans="1:23" ht="15.75" customHeight="1">
      <c r="A353" s="114"/>
      <c r="B353" s="122"/>
      <c r="C353" s="123"/>
      <c r="D353" s="20">
        <f t="shared" si="203"/>
        <v>-1459</v>
      </c>
      <c r="E353" s="118"/>
      <c r="F353" s="117"/>
      <c r="G353" s="19">
        <f t="shared" si="204"/>
        <v>-1459</v>
      </c>
      <c r="H353" s="124"/>
      <c r="I353" s="123"/>
      <c r="J353" s="26">
        <f t="shared" si="205"/>
        <v>-1459</v>
      </c>
      <c r="K353" s="117"/>
      <c r="L353" s="117"/>
      <c r="M353" s="38">
        <f t="shared" si="206"/>
        <v>-1459</v>
      </c>
      <c r="N353" s="122"/>
      <c r="O353" s="123"/>
      <c r="P353" s="26">
        <f t="shared" si="207"/>
        <v>-1459</v>
      </c>
      <c r="Q353" s="117"/>
      <c r="R353" s="117"/>
      <c r="S353" s="19">
        <f t="shared" si="208"/>
        <v>-1459</v>
      </c>
      <c r="T353" s="124"/>
      <c r="U353" s="124"/>
      <c r="V353" s="20">
        <f t="shared" si="209"/>
        <v>-1459</v>
      </c>
      <c r="W353" s="143"/>
    </row>
    <row r="354" spans="1:23" ht="15.75" customHeight="1">
      <c r="A354" s="114"/>
      <c r="B354" s="122"/>
      <c r="C354" s="123"/>
      <c r="D354" s="49">
        <f t="shared" si="203"/>
        <v>-1459</v>
      </c>
      <c r="E354" s="154"/>
      <c r="F354" s="128"/>
      <c r="G354" s="29">
        <f t="shared" si="204"/>
        <v>-1459</v>
      </c>
      <c r="H354" s="124"/>
      <c r="I354" s="123"/>
      <c r="J354" s="39">
        <f t="shared" si="205"/>
        <v>-1459</v>
      </c>
      <c r="K354" s="128"/>
      <c r="L354" s="128"/>
      <c r="M354" s="40">
        <f t="shared" si="206"/>
        <v>-1459</v>
      </c>
      <c r="N354" s="122"/>
      <c r="O354" s="123"/>
      <c r="P354" s="39">
        <f t="shared" si="207"/>
        <v>-1459</v>
      </c>
      <c r="Q354" s="128"/>
      <c r="R354" s="128"/>
      <c r="S354" s="29">
        <f t="shared" si="208"/>
        <v>-1459</v>
      </c>
      <c r="T354" s="124"/>
      <c r="U354" s="123"/>
      <c r="V354" s="49">
        <f t="shared" si="209"/>
        <v>-1459</v>
      </c>
      <c r="W354" s="143"/>
    </row>
    <row r="355" spans="1:23" ht="15.75" customHeight="1">
      <c r="A355" s="87"/>
      <c r="B355" s="77">
        <f ca="1">IFERROR(__xludf.DUMMYFUNCTION("DATE(VALUE(LEFT($B$2,4)),VALUE(MID($B$2,6,2)),VALUE(RIGHT($B$2,2)))
+ (VALUE(REGEXEXTRACT(INDIRECT(""A""&amp;ROW()+1),""\d+""))-1)*7
+ INT((COLUMN()-COLUMN($B355))/3)
"),47692)</f>
        <v>47692</v>
      </c>
      <c r="C355" s="81"/>
      <c r="D355" s="82"/>
      <c r="E355" s="77">
        <f ca="1">IFERROR(__xludf.DUMMYFUNCTION("DATE(VALUE(LEFT($B$2,4)),VALUE(MID($B$2,6,2)),VALUE(RIGHT($B$2,2)))
+ (VALUE(REGEXEXTRACT(INDIRECT(""A""&amp;ROW()+1),""\d+""))-1)*7
+ INT((COLUMN()-COLUMN($B355))/3)
"),47693)</f>
        <v>47693</v>
      </c>
      <c r="F355" s="81"/>
      <c r="G355" s="82"/>
      <c r="H355" s="77">
        <f ca="1">IFERROR(__xludf.DUMMYFUNCTION("DATE(VALUE(LEFT($B$2,4)),VALUE(MID($B$2,6,2)),VALUE(RIGHT($B$2,2)))
+ (VALUE(REGEXEXTRACT(INDIRECT(""A""&amp;ROW()+1),""\d+""))-1)*7
+ INT((COLUMN()-COLUMN($B355))/3)
"),47694)</f>
        <v>47694</v>
      </c>
      <c r="I355" s="81"/>
      <c r="J355" s="82"/>
      <c r="K355" s="77">
        <f ca="1">IFERROR(__xludf.DUMMYFUNCTION("DATE(VALUE(LEFT($B$2,4)),VALUE(MID($B$2,6,2)),VALUE(RIGHT($B$2,2)))
+ (VALUE(REGEXEXTRACT(INDIRECT(""A""&amp;ROW()+1),""\d+""))-1)*7
+ INT((COLUMN()-COLUMN($B355))/3)
"),47695)</f>
        <v>47695</v>
      </c>
      <c r="L355" s="81"/>
      <c r="M355" s="82"/>
      <c r="N355" s="77">
        <f ca="1">IFERROR(__xludf.DUMMYFUNCTION("DATE(VALUE(LEFT($B$2,4)),VALUE(MID($B$2,6,2)),VALUE(RIGHT($B$2,2)))
+ (VALUE(REGEXEXTRACT(INDIRECT(""A""&amp;ROW()+1),""\d+""))-1)*7
+ INT((COLUMN()-COLUMN($B355))/3)
"),47696)</f>
        <v>47696</v>
      </c>
      <c r="O355" s="81"/>
      <c r="P355" s="82"/>
      <c r="Q355" s="77">
        <f ca="1">IFERROR(__xludf.DUMMYFUNCTION("DATE(VALUE(LEFT($B$2,4)),VALUE(MID($B$2,6,2)),VALUE(RIGHT($B$2,2)))
+ (VALUE(REGEXEXTRACT(INDIRECT(""A""&amp;ROW()+1),""\d+""))-1)*7
+ INT((COLUMN()-COLUMN($B355))/3)
"),47697)</f>
        <v>47697</v>
      </c>
      <c r="R355" s="81"/>
      <c r="S355" s="82"/>
      <c r="T355" s="77">
        <f ca="1">IFERROR(__xludf.DUMMYFUNCTION("DATE(VALUE(LEFT($B$2,4)),VALUE(MID($B$2,6,2)),VALUE(RIGHT($B$2,2)))
+ (VALUE(REGEXEXTRACT(INDIRECT(""A""&amp;ROW()+1),""\d+""))-1)*7
+ INT((COLUMN()-COLUMN($B355))/3)
"),47698)</f>
        <v>47698</v>
      </c>
      <c r="U355" s="81"/>
      <c r="V355" s="82"/>
      <c r="W355" s="52" t="s">
        <v>20</v>
      </c>
    </row>
    <row r="356" spans="1:23" ht="15.75" customHeight="1">
      <c r="A356" s="47" t="s">
        <v>159</v>
      </c>
      <c r="B356" s="113"/>
      <c r="C356" s="109"/>
      <c r="D356" s="50">
        <f>V354+C356</f>
        <v>-1459</v>
      </c>
      <c r="E356" s="112"/>
      <c r="F356" s="111"/>
      <c r="G356" s="17">
        <f>D366+F356</f>
        <v>-1459</v>
      </c>
      <c r="H356" s="132"/>
      <c r="I356" s="109"/>
      <c r="J356" s="42">
        <f>G366+I356</f>
        <v>-1459</v>
      </c>
      <c r="K356" s="112"/>
      <c r="L356" s="111"/>
      <c r="M356" s="18">
        <f>J366+L356</f>
        <v>-1459</v>
      </c>
      <c r="N356" s="113"/>
      <c r="O356" s="109"/>
      <c r="P356" s="35">
        <f>M366+O356</f>
        <v>-1459</v>
      </c>
      <c r="Q356" s="112"/>
      <c r="R356" s="111"/>
      <c r="S356" s="17">
        <f>P366+R356</f>
        <v>-1459</v>
      </c>
      <c r="T356" s="176"/>
      <c r="U356" s="173"/>
      <c r="V356" s="50">
        <f>S366+U356</f>
        <v>-1459</v>
      </c>
      <c r="W356" s="172"/>
    </row>
    <row r="357" spans="1:23" ht="15.75" customHeight="1">
      <c r="A357" s="114"/>
      <c r="B357" s="118"/>
      <c r="C357" s="117"/>
      <c r="D357" s="45">
        <f t="shared" ref="D357:D366" si="210">D356+C357</f>
        <v>-1459</v>
      </c>
      <c r="E357" s="106"/>
      <c r="F357" s="107"/>
      <c r="G357" s="26">
        <f t="shared" ref="G357:G366" si="211">G356+F357</f>
        <v>-1459</v>
      </c>
      <c r="H357" s="117"/>
      <c r="I357" s="117"/>
      <c r="J357" s="19">
        <f t="shared" ref="J357:J366" si="212">J356+I357</f>
        <v>-1459</v>
      </c>
      <c r="K357" s="106"/>
      <c r="L357" s="107"/>
      <c r="M357" s="26">
        <f t="shared" ref="M357:M366" si="213">M356+L357</f>
        <v>-1459</v>
      </c>
      <c r="N357" s="118"/>
      <c r="O357" s="117"/>
      <c r="P357" s="38">
        <f t="shared" ref="P357:P366" si="214">P356+O357</f>
        <v>-1459</v>
      </c>
      <c r="Q357" s="106"/>
      <c r="R357" s="107"/>
      <c r="S357" s="26">
        <f t="shared" ref="S357:S366" si="215">S356+R357</f>
        <v>-1459</v>
      </c>
      <c r="T357" s="177"/>
      <c r="U357" s="136"/>
      <c r="V357" s="45">
        <f t="shared" ref="V357:V366" si="216">V356+U357</f>
        <v>-1459</v>
      </c>
      <c r="W357" s="143"/>
    </row>
    <row r="358" spans="1:23" ht="15.75" customHeight="1">
      <c r="A358" s="114"/>
      <c r="B358" s="118"/>
      <c r="C358" s="117"/>
      <c r="D358" s="45">
        <f t="shared" si="210"/>
        <v>-1459</v>
      </c>
      <c r="E358" s="106"/>
      <c r="F358" s="107"/>
      <c r="G358" s="26">
        <f t="shared" si="211"/>
        <v>-1459</v>
      </c>
      <c r="H358" s="117"/>
      <c r="I358" s="117"/>
      <c r="J358" s="19">
        <f t="shared" si="212"/>
        <v>-1459</v>
      </c>
      <c r="K358" s="106"/>
      <c r="L358" s="107"/>
      <c r="M358" s="26">
        <f t="shared" si="213"/>
        <v>-1459</v>
      </c>
      <c r="N358" s="117"/>
      <c r="O358" s="117"/>
      <c r="P358" s="38">
        <f t="shared" si="214"/>
        <v>-1459</v>
      </c>
      <c r="Q358" s="106"/>
      <c r="R358" s="107"/>
      <c r="S358" s="26">
        <f t="shared" si="215"/>
        <v>-1459</v>
      </c>
      <c r="T358" s="177"/>
      <c r="U358" s="136"/>
      <c r="V358" s="45">
        <f t="shared" si="216"/>
        <v>-1459</v>
      </c>
      <c r="W358" s="143"/>
    </row>
    <row r="359" spans="1:23" ht="15.75" customHeight="1">
      <c r="A359" s="114"/>
      <c r="B359" s="118"/>
      <c r="C359" s="117"/>
      <c r="D359" s="45">
        <f t="shared" si="210"/>
        <v>-1459</v>
      </c>
      <c r="E359" s="106"/>
      <c r="F359" s="107"/>
      <c r="G359" s="26">
        <f t="shared" si="211"/>
        <v>-1459</v>
      </c>
      <c r="H359" s="117"/>
      <c r="I359" s="117"/>
      <c r="J359" s="19">
        <f t="shared" si="212"/>
        <v>-1459</v>
      </c>
      <c r="K359" s="106"/>
      <c r="L359" s="107"/>
      <c r="M359" s="26">
        <f t="shared" si="213"/>
        <v>-1459</v>
      </c>
      <c r="N359" s="117"/>
      <c r="O359" s="117"/>
      <c r="P359" s="38">
        <f t="shared" si="214"/>
        <v>-1459</v>
      </c>
      <c r="Q359" s="106"/>
      <c r="R359" s="107"/>
      <c r="S359" s="26">
        <f t="shared" si="215"/>
        <v>-1459</v>
      </c>
      <c r="T359" s="177"/>
      <c r="U359" s="136"/>
      <c r="V359" s="45">
        <f t="shared" si="216"/>
        <v>-1459</v>
      </c>
      <c r="W359" s="143"/>
    </row>
    <row r="360" spans="1:23" ht="15.75" customHeight="1">
      <c r="A360" s="114"/>
      <c r="B360" s="118"/>
      <c r="C360" s="117"/>
      <c r="D360" s="45">
        <f t="shared" si="210"/>
        <v>-1459</v>
      </c>
      <c r="E360" s="106"/>
      <c r="F360" s="107"/>
      <c r="G360" s="26">
        <f t="shared" si="211"/>
        <v>-1459</v>
      </c>
      <c r="H360" s="133"/>
      <c r="I360" s="117"/>
      <c r="J360" s="19">
        <f t="shared" si="212"/>
        <v>-1459</v>
      </c>
      <c r="K360" s="106"/>
      <c r="L360" s="107"/>
      <c r="M360" s="26">
        <f t="shared" si="213"/>
        <v>-1459</v>
      </c>
      <c r="N360" s="117"/>
      <c r="O360" s="117"/>
      <c r="P360" s="38">
        <f t="shared" si="214"/>
        <v>-1459</v>
      </c>
      <c r="Q360" s="106"/>
      <c r="R360" s="107"/>
      <c r="S360" s="26">
        <f t="shared" si="215"/>
        <v>-1459</v>
      </c>
      <c r="T360" s="177"/>
      <c r="U360" s="136"/>
      <c r="V360" s="45">
        <f t="shared" si="216"/>
        <v>-1459</v>
      </c>
      <c r="W360" s="143"/>
    </row>
    <row r="361" spans="1:23" ht="15.75" customHeight="1">
      <c r="A361" s="114"/>
      <c r="B361" s="118"/>
      <c r="C361" s="117"/>
      <c r="D361" s="45">
        <f t="shared" si="210"/>
        <v>-1459</v>
      </c>
      <c r="E361" s="106"/>
      <c r="F361" s="107"/>
      <c r="G361" s="26">
        <f t="shared" si="211"/>
        <v>-1459</v>
      </c>
      <c r="H361" s="133"/>
      <c r="I361" s="117"/>
      <c r="J361" s="19">
        <f t="shared" si="212"/>
        <v>-1459</v>
      </c>
      <c r="K361" s="106"/>
      <c r="L361" s="107"/>
      <c r="M361" s="26">
        <f t="shared" si="213"/>
        <v>-1459</v>
      </c>
      <c r="N361" s="117"/>
      <c r="O361" s="117"/>
      <c r="P361" s="38">
        <f t="shared" si="214"/>
        <v>-1459</v>
      </c>
      <c r="Q361" s="106"/>
      <c r="R361" s="107"/>
      <c r="S361" s="26">
        <f t="shared" si="215"/>
        <v>-1459</v>
      </c>
      <c r="T361" s="136"/>
      <c r="U361" s="136"/>
      <c r="V361" s="45">
        <f t="shared" si="216"/>
        <v>-1459</v>
      </c>
      <c r="W361" s="143"/>
    </row>
    <row r="362" spans="1:23" ht="15.75" customHeight="1">
      <c r="A362" s="114"/>
      <c r="B362" s="117"/>
      <c r="C362" s="117"/>
      <c r="D362" s="45">
        <f t="shared" si="210"/>
        <v>-1459</v>
      </c>
      <c r="E362" s="106"/>
      <c r="F362" s="107"/>
      <c r="G362" s="26">
        <f t="shared" si="211"/>
        <v>-1459</v>
      </c>
      <c r="H362" s="133"/>
      <c r="I362" s="117"/>
      <c r="J362" s="19">
        <f t="shared" si="212"/>
        <v>-1459</v>
      </c>
      <c r="K362" s="106"/>
      <c r="L362" s="107"/>
      <c r="M362" s="26">
        <f t="shared" si="213"/>
        <v>-1459</v>
      </c>
      <c r="N362" s="117"/>
      <c r="O362" s="117"/>
      <c r="P362" s="38">
        <f t="shared" si="214"/>
        <v>-1459</v>
      </c>
      <c r="Q362" s="106"/>
      <c r="R362" s="107"/>
      <c r="S362" s="26">
        <f t="shared" si="215"/>
        <v>-1459</v>
      </c>
      <c r="T362" s="136"/>
      <c r="U362" s="136"/>
      <c r="V362" s="45">
        <f t="shared" si="216"/>
        <v>-1459</v>
      </c>
      <c r="W362" s="143"/>
    </row>
    <row r="363" spans="1:23" ht="15.75" customHeight="1">
      <c r="A363" s="114"/>
      <c r="B363" s="117"/>
      <c r="C363" s="117"/>
      <c r="D363" s="45">
        <f t="shared" si="210"/>
        <v>-1459</v>
      </c>
      <c r="E363" s="106"/>
      <c r="F363" s="107"/>
      <c r="G363" s="26">
        <f t="shared" si="211"/>
        <v>-1459</v>
      </c>
      <c r="H363" s="133"/>
      <c r="I363" s="117"/>
      <c r="J363" s="19">
        <f t="shared" si="212"/>
        <v>-1459</v>
      </c>
      <c r="K363" s="106"/>
      <c r="L363" s="107"/>
      <c r="M363" s="26">
        <f t="shared" si="213"/>
        <v>-1459</v>
      </c>
      <c r="N363" s="117"/>
      <c r="O363" s="117"/>
      <c r="P363" s="38">
        <f t="shared" si="214"/>
        <v>-1459</v>
      </c>
      <c r="Q363" s="106"/>
      <c r="R363" s="107"/>
      <c r="S363" s="26">
        <f t="shared" si="215"/>
        <v>-1459</v>
      </c>
      <c r="T363" s="136"/>
      <c r="U363" s="136"/>
      <c r="V363" s="45">
        <f t="shared" si="216"/>
        <v>-1459</v>
      </c>
      <c r="W363" s="143"/>
    </row>
    <row r="364" spans="1:23" ht="15.75" customHeight="1">
      <c r="A364" s="114"/>
      <c r="B364" s="117"/>
      <c r="C364" s="117"/>
      <c r="D364" s="45">
        <f t="shared" si="210"/>
        <v>-1459</v>
      </c>
      <c r="E364" s="106"/>
      <c r="F364" s="107"/>
      <c r="G364" s="26">
        <f t="shared" si="211"/>
        <v>-1459</v>
      </c>
      <c r="H364" s="133"/>
      <c r="I364" s="117"/>
      <c r="J364" s="19">
        <f t="shared" si="212"/>
        <v>-1459</v>
      </c>
      <c r="K364" s="106"/>
      <c r="L364" s="107"/>
      <c r="M364" s="26">
        <f t="shared" si="213"/>
        <v>-1459</v>
      </c>
      <c r="N364" s="117"/>
      <c r="O364" s="117"/>
      <c r="P364" s="38">
        <f t="shared" si="214"/>
        <v>-1459</v>
      </c>
      <c r="Q364" s="106"/>
      <c r="R364" s="107"/>
      <c r="S364" s="26">
        <f t="shared" si="215"/>
        <v>-1459</v>
      </c>
      <c r="T364" s="136"/>
      <c r="U364" s="136"/>
      <c r="V364" s="45">
        <f t="shared" si="216"/>
        <v>-1459</v>
      </c>
      <c r="W364" s="143"/>
    </row>
    <row r="365" spans="1:23" ht="15.75" customHeight="1">
      <c r="A365" s="114"/>
      <c r="B365" s="117"/>
      <c r="C365" s="117"/>
      <c r="D365" s="45">
        <f t="shared" si="210"/>
        <v>-1459</v>
      </c>
      <c r="E365" s="122"/>
      <c r="F365" s="123"/>
      <c r="G365" s="26">
        <f t="shared" si="211"/>
        <v>-1459</v>
      </c>
      <c r="H365" s="133"/>
      <c r="I365" s="117"/>
      <c r="J365" s="19">
        <f t="shared" si="212"/>
        <v>-1459</v>
      </c>
      <c r="K365" s="122"/>
      <c r="L365" s="123"/>
      <c r="M365" s="26">
        <f t="shared" si="213"/>
        <v>-1459</v>
      </c>
      <c r="N365" s="117"/>
      <c r="O365" s="117"/>
      <c r="P365" s="38">
        <f t="shared" si="214"/>
        <v>-1459</v>
      </c>
      <c r="Q365" s="122"/>
      <c r="R365" s="123"/>
      <c r="S365" s="26">
        <f t="shared" si="215"/>
        <v>-1459</v>
      </c>
      <c r="T365" s="136"/>
      <c r="U365" s="136"/>
      <c r="V365" s="45">
        <f t="shared" si="216"/>
        <v>-1459</v>
      </c>
      <c r="W365" s="143"/>
    </row>
    <row r="366" spans="1:23" ht="15.75" customHeight="1">
      <c r="A366" s="114"/>
      <c r="B366" s="128"/>
      <c r="C366" s="128"/>
      <c r="D366" s="46">
        <f t="shared" si="210"/>
        <v>-1459</v>
      </c>
      <c r="E366" s="122"/>
      <c r="F366" s="123"/>
      <c r="G366" s="39">
        <f t="shared" si="211"/>
        <v>-1459</v>
      </c>
      <c r="H366" s="140"/>
      <c r="I366" s="128"/>
      <c r="J366" s="29">
        <f t="shared" si="212"/>
        <v>-1459</v>
      </c>
      <c r="K366" s="122"/>
      <c r="L366" s="123"/>
      <c r="M366" s="39">
        <f t="shared" si="213"/>
        <v>-1459</v>
      </c>
      <c r="N366" s="128"/>
      <c r="O366" s="128"/>
      <c r="P366" s="40">
        <f t="shared" si="214"/>
        <v>-1459</v>
      </c>
      <c r="Q366" s="122"/>
      <c r="R366" s="123"/>
      <c r="S366" s="39">
        <f t="shared" si="215"/>
        <v>-1459</v>
      </c>
      <c r="T366" s="141"/>
      <c r="U366" s="141"/>
      <c r="V366" s="46">
        <f t="shared" si="216"/>
        <v>-1459</v>
      </c>
      <c r="W366" s="143"/>
    </row>
    <row r="367" spans="1:23" ht="15.75" customHeight="1">
      <c r="A367" s="87"/>
      <c r="B367" s="77">
        <f ca="1">IFERROR(__xludf.DUMMYFUNCTION("DATE(VALUE(LEFT($B$2,4)),VALUE(MID($B$2,6,2)),VALUE(RIGHT($B$2,2)))
+ (VALUE(REGEXEXTRACT(INDIRECT(""A""&amp;ROW()+1),""\d+""))-1)*7
+ INT((COLUMN()-COLUMN($B367))/3)
"),47699)</f>
        <v>47699</v>
      </c>
      <c r="C367" s="81"/>
      <c r="D367" s="82"/>
      <c r="E367" s="77">
        <f ca="1">IFERROR(__xludf.DUMMYFUNCTION("DATE(VALUE(LEFT($B$2,4)),VALUE(MID($B$2,6,2)),VALUE(RIGHT($B$2,2)))
+ (VALUE(REGEXEXTRACT(INDIRECT(""A""&amp;ROW()+1),""\d+""))-1)*7
+ INT((COLUMN()-COLUMN($B367))/3)
"),47700)</f>
        <v>47700</v>
      </c>
      <c r="F367" s="81"/>
      <c r="G367" s="82"/>
      <c r="H367" s="77">
        <f ca="1">IFERROR(__xludf.DUMMYFUNCTION("DATE(VALUE(LEFT($B$2,4)),VALUE(MID($B$2,6,2)),VALUE(RIGHT($B$2,2)))
+ (VALUE(REGEXEXTRACT(INDIRECT(""A""&amp;ROW()+1),""\d+""))-1)*7
+ INT((COLUMN()-COLUMN($B367))/3)
"),47701)</f>
        <v>47701</v>
      </c>
      <c r="I367" s="81"/>
      <c r="J367" s="82"/>
      <c r="K367" s="77">
        <f ca="1">IFERROR(__xludf.DUMMYFUNCTION("DATE(VALUE(LEFT($B$2,4)),VALUE(MID($B$2,6,2)),VALUE(RIGHT($B$2,2)))
+ (VALUE(REGEXEXTRACT(INDIRECT(""A""&amp;ROW()+1),""\d+""))-1)*7
+ INT((COLUMN()-COLUMN($B367))/3)
"),47702)</f>
        <v>47702</v>
      </c>
      <c r="L367" s="81"/>
      <c r="M367" s="82"/>
      <c r="N367" s="77">
        <f ca="1">IFERROR(__xludf.DUMMYFUNCTION("DATE(VALUE(LEFT($B$2,4)),VALUE(MID($B$2,6,2)),VALUE(RIGHT($B$2,2)))
+ (VALUE(REGEXEXTRACT(INDIRECT(""A""&amp;ROW()+1),""\d+""))-1)*7
+ INT((COLUMN()-COLUMN($B367))/3)
"),47703)</f>
        <v>47703</v>
      </c>
      <c r="O367" s="81"/>
      <c r="P367" s="82"/>
      <c r="Q367" s="77">
        <f ca="1">IFERROR(__xludf.DUMMYFUNCTION("DATE(VALUE(LEFT($B$2,4)),VALUE(MID($B$2,6,2)),VALUE(RIGHT($B$2,2)))
+ (VALUE(REGEXEXTRACT(INDIRECT(""A""&amp;ROW()+1),""\d+""))-1)*7
+ INT((COLUMN()-COLUMN($B367))/3)
"),47704)</f>
        <v>47704</v>
      </c>
      <c r="R367" s="81"/>
      <c r="S367" s="82"/>
      <c r="T367" s="77">
        <f ca="1">IFERROR(__xludf.DUMMYFUNCTION("DATE(VALUE(LEFT($B$2,4)),VALUE(MID($B$2,6,2)),VALUE(RIGHT($B$2,2)))
+ (VALUE(REGEXEXTRACT(INDIRECT(""A""&amp;ROW()+1),""\d+""))-1)*7
+ INT((COLUMN()-COLUMN($B367))/3)
"),47705)</f>
        <v>47705</v>
      </c>
      <c r="U367" s="81"/>
      <c r="V367" s="82"/>
      <c r="W367" s="143"/>
    </row>
    <row r="368" spans="1:23" ht="15.75" customHeight="1">
      <c r="A368" s="51" t="s">
        <v>160</v>
      </c>
      <c r="B368" s="112"/>
      <c r="C368" s="111"/>
      <c r="D368" s="48">
        <f>V366+C368</f>
        <v>-1459</v>
      </c>
      <c r="E368" s="113"/>
      <c r="F368" s="109"/>
      <c r="G368" s="42">
        <f>D378+F368</f>
        <v>-1459</v>
      </c>
      <c r="H368" s="110"/>
      <c r="I368" s="111"/>
      <c r="J368" s="17">
        <f>G378+I368</f>
        <v>-1459</v>
      </c>
      <c r="K368" s="109"/>
      <c r="L368" s="109"/>
      <c r="M368" s="35">
        <f>J378+L368</f>
        <v>-1459</v>
      </c>
      <c r="N368" s="112"/>
      <c r="O368" s="111"/>
      <c r="P368" s="17">
        <f>M378+O368</f>
        <v>-1459</v>
      </c>
      <c r="Q368" s="109"/>
      <c r="R368" s="109"/>
      <c r="S368" s="35">
        <f>P378+R368</f>
        <v>-1459</v>
      </c>
      <c r="T368" s="112"/>
      <c r="U368" s="111"/>
      <c r="V368" s="48">
        <f>S378+U368</f>
        <v>-1459</v>
      </c>
      <c r="W368" s="143"/>
    </row>
    <row r="369" spans="1:23" ht="15.75" customHeight="1">
      <c r="A369" s="114"/>
      <c r="B369" s="106"/>
      <c r="C369" s="107"/>
      <c r="D369" s="20">
        <f t="shared" ref="D369:D378" si="217">D368+C369</f>
        <v>-1459</v>
      </c>
      <c r="E369" s="118"/>
      <c r="F369" s="117"/>
      <c r="G369" s="19">
        <f t="shared" ref="G369:G378" si="218">G368+F369</f>
        <v>-1459</v>
      </c>
      <c r="H369" s="116"/>
      <c r="I369" s="107"/>
      <c r="J369" s="26">
        <f t="shared" ref="J369:J378" si="219">J368+I369</f>
        <v>-1459</v>
      </c>
      <c r="K369" s="117"/>
      <c r="L369" s="117"/>
      <c r="M369" s="38">
        <f t="shared" ref="M369:M378" si="220">M368+L369</f>
        <v>-1459</v>
      </c>
      <c r="N369" s="106"/>
      <c r="O369" s="107"/>
      <c r="P369" s="26">
        <f t="shared" ref="P369:P378" si="221">P368+O369</f>
        <v>-1459</v>
      </c>
      <c r="Q369" s="117"/>
      <c r="R369" s="117"/>
      <c r="S369" s="38">
        <f t="shared" ref="S369:S378" si="222">S368+R369</f>
        <v>-1459</v>
      </c>
      <c r="T369" s="106"/>
      <c r="U369" s="107"/>
      <c r="V369" s="20">
        <f t="shared" ref="V369:V378" si="223">V368+U369</f>
        <v>-1459</v>
      </c>
      <c r="W369" s="143"/>
    </row>
    <row r="370" spans="1:23" ht="15.75" customHeight="1">
      <c r="A370" s="114"/>
      <c r="B370" s="106"/>
      <c r="C370" s="107"/>
      <c r="D370" s="20">
        <f t="shared" si="217"/>
        <v>-1459</v>
      </c>
      <c r="E370" s="118"/>
      <c r="F370" s="117"/>
      <c r="G370" s="19">
        <f t="shared" si="218"/>
        <v>-1459</v>
      </c>
      <c r="H370" s="116"/>
      <c r="I370" s="107"/>
      <c r="J370" s="26">
        <f t="shared" si="219"/>
        <v>-1459</v>
      </c>
      <c r="K370" s="117"/>
      <c r="L370" s="117"/>
      <c r="M370" s="38">
        <f t="shared" si="220"/>
        <v>-1459</v>
      </c>
      <c r="N370" s="106"/>
      <c r="O370" s="107"/>
      <c r="P370" s="26">
        <f t="shared" si="221"/>
        <v>-1459</v>
      </c>
      <c r="Q370" s="117"/>
      <c r="R370" s="117"/>
      <c r="S370" s="38">
        <f t="shared" si="222"/>
        <v>-1459</v>
      </c>
      <c r="T370" s="106"/>
      <c r="U370" s="116"/>
      <c r="V370" s="20">
        <f t="shared" si="223"/>
        <v>-1459</v>
      </c>
      <c r="W370" s="143"/>
    </row>
    <row r="371" spans="1:23" ht="15.75" customHeight="1">
      <c r="A371" s="114"/>
      <c r="B371" s="106"/>
      <c r="C371" s="107"/>
      <c r="D371" s="20">
        <f t="shared" si="217"/>
        <v>-1459</v>
      </c>
      <c r="E371" s="118"/>
      <c r="F371" s="117"/>
      <c r="G371" s="19">
        <f t="shared" si="218"/>
        <v>-1459</v>
      </c>
      <c r="H371" s="116"/>
      <c r="I371" s="107"/>
      <c r="J371" s="26">
        <f t="shared" si="219"/>
        <v>-1459</v>
      </c>
      <c r="K371" s="117"/>
      <c r="L371" s="117"/>
      <c r="M371" s="38">
        <f t="shared" si="220"/>
        <v>-1459</v>
      </c>
      <c r="N371" s="106"/>
      <c r="O371" s="107"/>
      <c r="P371" s="26">
        <f t="shared" si="221"/>
        <v>-1459</v>
      </c>
      <c r="Q371" s="117"/>
      <c r="R371" s="117"/>
      <c r="S371" s="38">
        <f t="shared" si="222"/>
        <v>-1459</v>
      </c>
      <c r="T371" s="106"/>
      <c r="U371" s="116"/>
      <c r="V371" s="20">
        <f t="shared" si="223"/>
        <v>-1459</v>
      </c>
      <c r="W371" s="143"/>
    </row>
    <row r="372" spans="1:23" ht="15.75" customHeight="1">
      <c r="A372" s="114"/>
      <c r="B372" s="106"/>
      <c r="C372" s="107"/>
      <c r="D372" s="20">
        <f t="shared" si="217"/>
        <v>-1459</v>
      </c>
      <c r="E372" s="118"/>
      <c r="F372" s="117"/>
      <c r="G372" s="19">
        <f t="shared" si="218"/>
        <v>-1459</v>
      </c>
      <c r="H372" s="116"/>
      <c r="I372" s="107"/>
      <c r="J372" s="26">
        <f t="shared" si="219"/>
        <v>-1459</v>
      </c>
      <c r="K372" s="117"/>
      <c r="L372" s="117"/>
      <c r="M372" s="38">
        <f t="shared" si="220"/>
        <v>-1459</v>
      </c>
      <c r="N372" s="106"/>
      <c r="O372" s="107"/>
      <c r="P372" s="26">
        <f t="shared" si="221"/>
        <v>-1459</v>
      </c>
      <c r="Q372" s="117"/>
      <c r="R372" s="117"/>
      <c r="S372" s="38">
        <f t="shared" si="222"/>
        <v>-1459</v>
      </c>
      <c r="T372" s="106"/>
      <c r="U372" s="116"/>
      <c r="V372" s="20">
        <f t="shared" si="223"/>
        <v>-1459</v>
      </c>
      <c r="W372" s="143"/>
    </row>
    <row r="373" spans="1:23" ht="15.75" customHeight="1">
      <c r="A373" s="114"/>
      <c r="B373" s="106"/>
      <c r="C373" s="107"/>
      <c r="D373" s="20">
        <f t="shared" si="217"/>
        <v>-1459</v>
      </c>
      <c r="E373" s="118"/>
      <c r="F373" s="117"/>
      <c r="G373" s="19">
        <f t="shared" si="218"/>
        <v>-1459</v>
      </c>
      <c r="H373" s="116"/>
      <c r="I373" s="107"/>
      <c r="J373" s="26">
        <f t="shared" si="219"/>
        <v>-1459</v>
      </c>
      <c r="K373" s="117"/>
      <c r="L373" s="117"/>
      <c r="M373" s="38">
        <f t="shared" si="220"/>
        <v>-1459</v>
      </c>
      <c r="N373" s="106"/>
      <c r="O373" s="107"/>
      <c r="P373" s="26">
        <f t="shared" si="221"/>
        <v>-1459</v>
      </c>
      <c r="Q373" s="117"/>
      <c r="R373" s="117"/>
      <c r="S373" s="38">
        <f t="shared" si="222"/>
        <v>-1459</v>
      </c>
      <c r="T373" s="106"/>
      <c r="U373" s="116"/>
      <c r="V373" s="20">
        <f t="shared" si="223"/>
        <v>-1459</v>
      </c>
      <c r="W373" s="143"/>
    </row>
    <row r="374" spans="1:23" ht="15.75" customHeight="1">
      <c r="A374" s="114"/>
      <c r="B374" s="106"/>
      <c r="C374" s="107"/>
      <c r="D374" s="20">
        <f t="shared" si="217"/>
        <v>-1459</v>
      </c>
      <c r="E374" s="118"/>
      <c r="F374" s="117"/>
      <c r="G374" s="19">
        <f t="shared" si="218"/>
        <v>-1459</v>
      </c>
      <c r="H374" s="116"/>
      <c r="I374" s="107"/>
      <c r="J374" s="26">
        <f t="shared" si="219"/>
        <v>-1459</v>
      </c>
      <c r="K374" s="117"/>
      <c r="L374" s="117"/>
      <c r="M374" s="38">
        <f t="shared" si="220"/>
        <v>-1459</v>
      </c>
      <c r="N374" s="106"/>
      <c r="O374" s="107"/>
      <c r="P374" s="26">
        <f t="shared" si="221"/>
        <v>-1459</v>
      </c>
      <c r="Q374" s="117"/>
      <c r="R374" s="117"/>
      <c r="S374" s="38">
        <f t="shared" si="222"/>
        <v>-1459</v>
      </c>
      <c r="T374" s="106"/>
      <c r="U374" s="116"/>
      <c r="V374" s="20">
        <f t="shared" si="223"/>
        <v>-1459</v>
      </c>
      <c r="W374" s="143"/>
    </row>
    <row r="375" spans="1:23" ht="15.75" customHeight="1">
      <c r="A375" s="114"/>
      <c r="B375" s="106"/>
      <c r="C375" s="107"/>
      <c r="D375" s="20">
        <f t="shared" si="217"/>
        <v>-1459</v>
      </c>
      <c r="E375" s="118"/>
      <c r="F375" s="117"/>
      <c r="G375" s="19">
        <f t="shared" si="218"/>
        <v>-1459</v>
      </c>
      <c r="H375" s="116"/>
      <c r="I375" s="107"/>
      <c r="J375" s="26">
        <f t="shared" si="219"/>
        <v>-1459</v>
      </c>
      <c r="K375" s="117"/>
      <c r="L375" s="117"/>
      <c r="M375" s="38">
        <f t="shared" si="220"/>
        <v>-1459</v>
      </c>
      <c r="N375" s="106"/>
      <c r="O375" s="107"/>
      <c r="P375" s="26">
        <f t="shared" si="221"/>
        <v>-1459</v>
      </c>
      <c r="Q375" s="117"/>
      <c r="R375" s="117"/>
      <c r="S375" s="38">
        <f t="shared" si="222"/>
        <v>-1459</v>
      </c>
      <c r="T375" s="106"/>
      <c r="U375" s="116"/>
      <c r="V375" s="20">
        <f t="shared" si="223"/>
        <v>-1459</v>
      </c>
      <c r="W375" s="143"/>
    </row>
    <row r="376" spans="1:23" ht="15.75" customHeight="1">
      <c r="A376" s="114"/>
      <c r="B376" s="122"/>
      <c r="C376" s="123"/>
      <c r="D376" s="20">
        <f t="shared" si="217"/>
        <v>-1459</v>
      </c>
      <c r="E376" s="118"/>
      <c r="F376" s="117"/>
      <c r="G376" s="19">
        <f t="shared" si="218"/>
        <v>-1459</v>
      </c>
      <c r="H376" s="124"/>
      <c r="I376" s="123"/>
      <c r="J376" s="26">
        <f t="shared" si="219"/>
        <v>-1459</v>
      </c>
      <c r="K376" s="117"/>
      <c r="L376" s="117"/>
      <c r="M376" s="38">
        <f t="shared" si="220"/>
        <v>-1459</v>
      </c>
      <c r="N376" s="122"/>
      <c r="O376" s="123"/>
      <c r="P376" s="26">
        <f t="shared" si="221"/>
        <v>-1459</v>
      </c>
      <c r="Q376" s="117"/>
      <c r="R376" s="117"/>
      <c r="S376" s="38">
        <f t="shared" si="222"/>
        <v>-1459</v>
      </c>
      <c r="T376" s="106"/>
      <c r="U376" s="116"/>
      <c r="V376" s="20">
        <f t="shared" si="223"/>
        <v>-1459</v>
      </c>
      <c r="W376" s="143"/>
    </row>
    <row r="377" spans="1:23" ht="15.75" customHeight="1">
      <c r="A377" s="114"/>
      <c r="B377" s="122"/>
      <c r="C377" s="123"/>
      <c r="D377" s="20">
        <f t="shared" si="217"/>
        <v>-1459</v>
      </c>
      <c r="E377" s="118"/>
      <c r="F377" s="117"/>
      <c r="G377" s="19">
        <f t="shared" si="218"/>
        <v>-1459</v>
      </c>
      <c r="H377" s="124"/>
      <c r="I377" s="123"/>
      <c r="J377" s="26">
        <f t="shared" si="219"/>
        <v>-1459</v>
      </c>
      <c r="K377" s="117"/>
      <c r="L377" s="117"/>
      <c r="M377" s="38">
        <f t="shared" si="220"/>
        <v>-1459</v>
      </c>
      <c r="N377" s="122"/>
      <c r="O377" s="123"/>
      <c r="P377" s="26">
        <f t="shared" si="221"/>
        <v>-1459</v>
      </c>
      <c r="Q377" s="117"/>
      <c r="R377" s="117"/>
      <c r="S377" s="38">
        <f t="shared" si="222"/>
        <v>-1459</v>
      </c>
      <c r="T377" s="122"/>
      <c r="U377" s="124"/>
      <c r="V377" s="20">
        <f t="shared" si="223"/>
        <v>-1459</v>
      </c>
      <c r="W377" s="143"/>
    </row>
    <row r="378" spans="1:23" ht="15.75" customHeight="1">
      <c r="A378" s="114"/>
      <c r="B378" s="122"/>
      <c r="C378" s="123"/>
      <c r="D378" s="49">
        <f t="shared" si="217"/>
        <v>-1459</v>
      </c>
      <c r="E378" s="154"/>
      <c r="F378" s="128"/>
      <c r="G378" s="29">
        <f t="shared" si="218"/>
        <v>-1459</v>
      </c>
      <c r="H378" s="124"/>
      <c r="I378" s="123"/>
      <c r="J378" s="39">
        <f t="shared" si="219"/>
        <v>-1459</v>
      </c>
      <c r="K378" s="128"/>
      <c r="L378" s="128"/>
      <c r="M378" s="40">
        <f t="shared" si="220"/>
        <v>-1459</v>
      </c>
      <c r="N378" s="122"/>
      <c r="O378" s="123"/>
      <c r="P378" s="39">
        <f t="shared" si="221"/>
        <v>-1459</v>
      </c>
      <c r="Q378" s="128"/>
      <c r="R378" s="128"/>
      <c r="S378" s="40">
        <f t="shared" si="222"/>
        <v>-1459</v>
      </c>
      <c r="T378" s="122"/>
      <c r="U378" s="123"/>
      <c r="V378" s="49">
        <f t="shared" si="223"/>
        <v>-1459</v>
      </c>
      <c r="W378" s="143"/>
    </row>
    <row r="379" spans="1:23" ht="15.75" customHeight="1">
      <c r="A379" s="87"/>
      <c r="B379" s="77">
        <f ca="1">IFERROR(__xludf.DUMMYFUNCTION("DATE(VALUE(LEFT($B$2,4)),VALUE(MID($B$2,6,2)),VALUE(RIGHT($B$2,2)))
+ (VALUE(REGEXEXTRACT(INDIRECT(""A""&amp;ROW()+1),""\d+""))-1)*7
+ INT((COLUMN()-COLUMN($B379))/3)
"),47706)</f>
        <v>47706</v>
      </c>
      <c r="C379" s="81"/>
      <c r="D379" s="82"/>
      <c r="E379" s="77">
        <f ca="1">IFERROR(__xludf.DUMMYFUNCTION("DATE(VALUE(LEFT($B$2,4)),VALUE(MID($B$2,6,2)),VALUE(RIGHT($B$2,2)))
+ (VALUE(REGEXEXTRACT(INDIRECT(""A""&amp;ROW()+1),""\d+""))-1)*7
+ INT((COLUMN()-COLUMN($B379))/3)
"),47707)</f>
        <v>47707</v>
      </c>
      <c r="F379" s="81"/>
      <c r="G379" s="82"/>
      <c r="H379" s="77">
        <f ca="1">IFERROR(__xludf.DUMMYFUNCTION("DATE(VALUE(LEFT($B$2,4)),VALUE(MID($B$2,6,2)),VALUE(RIGHT($B$2,2)))
+ (VALUE(REGEXEXTRACT(INDIRECT(""A""&amp;ROW()+1),""\d+""))-1)*7
+ INT((COLUMN()-COLUMN($B379))/3)
"),47708)</f>
        <v>47708</v>
      </c>
      <c r="I379" s="81"/>
      <c r="J379" s="82"/>
      <c r="K379" s="77">
        <f ca="1">IFERROR(__xludf.DUMMYFUNCTION("DATE(VALUE(LEFT($B$2,4)),VALUE(MID($B$2,6,2)),VALUE(RIGHT($B$2,2)))
+ (VALUE(REGEXEXTRACT(INDIRECT(""A""&amp;ROW()+1),""\d+""))-1)*7
+ INT((COLUMN()-COLUMN($B379))/3)
"),47709)</f>
        <v>47709</v>
      </c>
      <c r="L379" s="81"/>
      <c r="M379" s="82"/>
      <c r="N379" s="77">
        <f ca="1">IFERROR(__xludf.DUMMYFUNCTION("DATE(VALUE(LEFT($B$2,4)),VALUE(MID($B$2,6,2)),VALUE(RIGHT($B$2,2)))
+ (VALUE(REGEXEXTRACT(INDIRECT(""A""&amp;ROW()+1),""\d+""))-1)*7
+ INT((COLUMN()-COLUMN($B379))/3)
"),47710)</f>
        <v>47710</v>
      </c>
      <c r="O379" s="81"/>
      <c r="P379" s="82"/>
      <c r="Q379" s="77">
        <f ca="1">IFERROR(__xludf.DUMMYFUNCTION("DATE(VALUE(LEFT($B$2,4)),VALUE(MID($B$2,6,2)),VALUE(RIGHT($B$2,2)))
+ (VALUE(REGEXEXTRACT(INDIRECT(""A""&amp;ROW()+1),""\d+""))-1)*7
+ INT((COLUMN()-COLUMN($B379))/3)
"),47711)</f>
        <v>47711</v>
      </c>
      <c r="R379" s="81"/>
      <c r="S379" s="82"/>
      <c r="T379" s="77">
        <f ca="1">IFERROR(__xludf.DUMMYFUNCTION("DATE(VALUE(LEFT($B$2,4)),VALUE(MID($B$2,6,2)),VALUE(RIGHT($B$2,2)))
+ (VALUE(REGEXEXTRACT(INDIRECT(""A""&amp;ROW()+1),""\d+""))-1)*7
+ INT((COLUMN()-COLUMN($B379))/3)
"),47712)</f>
        <v>47712</v>
      </c>
      <c r="U379" s="81"/>
      <c r="V379" s="82"/>
      <c r="W379" s="52" t="s">
        <v>20</v>
      </c>
    </row>
    <row r="380" spans="1:23" ht="15.75" customHeight="1">
      <c r="A380" s="47" t="s">
        <v>161</v>
      </c>
      <c r="B380" s="113"/>
      <c r="C380" s="109"/>
      <c r="D380" s="50">
        <f>V378+C380</f>
        <v>-1459</v>
      </c>
      <c r="E380" s="112"/>
      <c r="F380" s="111"/>
      <c r="G380" s="17">
        <f>D390+F380</f>
        <v>-1459</v>
      </c>
      <c r="H380" s="132"/>
      <c r="I380" s="109"/>
      <c r="J380" s="42">
        <f>G390+I380</f>
        <v>-1459</v>
      </c>
      <c r="K380" s="112"/>
      <c r="L380" s="111"/>
      <c r="M380" s="18">
        <f>J390+L380</f>
        <v>-1459</v>
      </c>
      <c r="N380" s="113"/>
      <c r="O380" s="109"/>
      <c r="P380" s="35">
        <f>M390+O380</f>
        <v>-1459</v>
      </c>
      <c r="Q380" s="112"/>
      <c r="R380" s="111"/>
      <c r="S380" s="18">
        <f>P390+R380</f>
        <v>-1459</v>
      </c>
      <c r="T380" s="173"/>
      <c r="U380" s="173"/>
      <c r="V380" s="50">
        <f>S390+U380</f>
        <v>-1459</v>
      </c>
      <c r="W380" s="172"/>
    </row>
    <row r="381" spans="1:23" ht="15.75" customHeight="1">
      <c r="A381" s="114"/>
      <c r="B381" s="118"/>
      <c r="C381" s="117"/>
      <c r="D381" s="45">
        <f t="shared" ref="D381:D390" si="224">D380+C381</f>
        <v>-1459</v>
      </c>
      <c r="E381" s="106"/>
      <c r="F381" s="107"/>
      <c r="G381" s="26">
        <f t="shared" ref="G381:G390" si="225">G380+F381</f>
        <v>-1459</v>
      </c>
      <c r="H381" s="133"/>
      <c r="I381" s="117"/>
      <c r="J381" s="19">
        <f t="shared" ref="J381:J390" si="226">J380+I381</f>
        <v>-1459</v>
      </c>
      <c r="K381" s="106"/>
      <c r="L381" s="107"/>
      <c r="M381" s="26">
        <f t="shared" ref="M381:M390" si="227">M380+L381</f>
        <v>-1459</v>
      </c>
      <c r="N381" s="118"/>
      <c r="O381" s="117"/>
      <c r="P381" s="38">
        <f t="shared" ref="P381:P390" si="228">P380+O381</f>
        <v>-1459</v>
      </c>
      <c r="Q381" s="106"/>
      <c r="R381" s="107"/>
      <c r="S381" s="26">
        <f t="shared" ref="S381:S390" si="229">S380+R381</f>
        <v>-1459</v>
      </c>
      <c r="T381" s="136"/>
      <c r="U381" s="136"/>
      <c r="V381" s="45">
        <f t="shared" ref="V381:V390" si="230">V380+U381</f>
        <v>-1459</v>
      </c>
      <c r="W381" s="143"/>
    </row>
    <row r="382" spans="1:23" ht="15.75" customHeight="1">
      <c r="A382" s="114"/>
      <c r="B382" s="118"/>
      <c r="C382" s="117"/>
      <c r="D382" s="45">
        <f t="shared" si="224"/>
        <v>-1459</v>
      </c>
      <c r="E382" s="106"/>
      <c r="F382" s="107"/>
      <c r="G382" s="26">
        <f t="shared" si="225"/>
        <v>-1459</v>
      </c>
      <c r="H382" s="133"/>
      <c r="I382" s="117"/>
      <c r="J382" s="19">
        <f t="shared" si="226"/>
        <v>-1459</v>
      </c>
      <c r="K382" s="106"/>
      <c r="L382" s="107"/>
      <c r="M382" s="26">
        <f t="shared" si="227"/>
        <v>-1459</v>
      </c>
      <c r="N382" s="117"/>
      <c r="O382" s="117"/>
      <c r="P382" s="38">
        <f t="shared" si="228"/>
        <v>-1459</v>
      </c>
      <c r="Q382" s="106"/>
      <c r="R382" s="107"/>
      <c r="S382" s="26">
        <f t="shared" si="229"/>
        <v>-1459</v>
      </c>
      <c r="T382" s="136"/>
      <c r="U382" s="136"/>
      <c r="V382" s="45">
        <f t="shared" si="230"/>
        <v>-1459</v>
      </c>
      <c r="W382" s="143"/>
    </row>
    <row r="383" spans="1:23" ht="15.75" customHeight="1">
      <c r="A383" s="114"/>
      <c r="B383" s="118"/>
      <c r="C383" s="117"/>
      <c r="D383" s="45">
        <f t="shared" si="224"/>
        <v>-1459</v>
      </c>
      <c r="E383" s="106"/>
      <c r="F383" s="107"/>
      <c r="G383" s="26">
        <f t="shared" si="225"/>
        <v>-1459</v>
      </c>
      <c r="H383" s="117"/>
      <c r="I383" s="117"/>
      <c r="J383" s="19">
        <f t="shared" si="226"/>
        <v>-1459</v>
      </c>
      <c r="K383" s="106"/>
      <c r="L383" s="107"/>
      <c r="M383" s="26">
        <f t="shared" si="227"/>
        <v>-1459</v>
      </c>
      <c r="N383" s="117"/>
      <c r="O383" s="117"/>
      <c r="P383" s="38">
        <f t="shared" si="228"/>
        <v>-1459</v>
      </c>
      <c r="Q383" s="106"/>
      <c r="R383" s="107"/>
      <c r="S383" s="26">
        <f t="shared" si="229"/>
        <v>-1459</v>
      </c>
      <c r="T383" s="136"/>
      <c r="U383" s="136"/>
      <c r="V383" s="45">
        <f t="shared" si="230"/>
        <v>-1459</v>
      </c>
      <c r="W383" s="143"/>
    </row>
    <row r="384" spans="1:23" ht="15.75" customHeight="1">
      <c r="A384" s="114"/>
      <c r="B384" s="118"/>
      <c r="C384" s="117"/>
      <c r="D384" s="45">
        <f t="shared" si="224"/>
        <v>-1459</v>
      </c>
      <c r="E384" s="106"/>
      <c r="F384" s="107"/>
      <c r="G384" s="26">
        <f t="shared" si="225"/>
        <v>-1459</v>
      </c>
      <c r="H384" s="117"/>
      <c r="I384" s="117"/>
      <c r="J384" s="19">
        <f t="shared" si="226"/>
        <v>-1459</v>
      </c>
      <c r="K384" s="106"/>
      <c r="L384" s="107"/>
      <c r="M384" s="26">
        <f t="shared" si="227"/>
        <v>-1459</v>
      </c>
      <c r="N384" s="117"/>
      <c r="O384" s="117"/>
      <c r="P384" s="38">
        <f t="shared" si="228"/>
        <v>-1459</v>
      </c>
      <c r="Q384" s="106"/>
      <c r="R384" s="107"/>
      <c r="S384" s="26">
        <f t="shared" si="229"/>
        <v>-1459</v>
      </c>
      <c r="T384" s="136"/>
      <c r="U384" s="136"/>
      <c r="V384" s="45">
        <f t="shared" si="230"/>
        <v>-1459</v>
      </c>
      <c r="W384" s="143"/>
    </row>
    <row r="385" spans="1:23" ht="15.75" customHeight="1">
      <c r="A385" s="114"/>
      <c r="B385" s="118"/>
      <c r="C385" s="117"/>
      <c r="D385" s="45">
        <f t="shared" si="224"/>
        <v>-1459</v>
      </c>
      <c r="E385" s="106"/>
      <c r="F385" s="107"/>
      <c r="G385" s="26">
        <f t="shared" si="225"/>
        <v>-1459</v>
      </c>
      <c r="H385" s="117"/>
      <c r="I385" s="117"/>
      <c r="J385" s="19">
        <f t="shared" si="226"/>
        <v>-1459</v>
      </c>
      <c r="K385" s="106"/>
      <c r="L385" s="107"/>
      <c r="M385" s="26">
        <f t="shared" si="227"/>
        <v>-1459</v>
      </c>
      <c r="N385" s="117"/>
      <c r="O385" s="117"/>
      <c r="P385" s="38">
        <f t="shared" si="228"/>
        <v>-1459</v>
      </c>
      <c r="Q385" s="106"/>
      <c r="R385" s="107"/>
      <c r="S385" s="26">
        <f t="shared" si="229"/>
        <v>-1459</v>
      </c>
      <c r="T385" s="136"/>
      <c r="U385" s="136"/>
      <c r="V385" s="45">
        <f t="shared" si="230"/>
        <v>-1459</v>
      </c>
      <c r="W385" s="143"/>
    </row>
    <row r="386" spans="1:23" ht="15.75" customHeight="1">
      <c r="A386" s="114"/>
      <c r="B386" s="118"/>
      <c r="C386" s="117"/>
      <c r="D386" s="45">
        <f t="shared" si="224"/>
        <v>-1459</v>
      </c>
      <c r="E386" s="106"/>
      <c r="F386" s="107"/>
      <c r="G386" s="26">
        <f t="shared" si="225"/>
        <v>-1459</v>
      </c>
      <c r="H386" s="117"/>
      <c r="I386" s="117"/>
      <c r="J386" s="19">
        <f t="shared" si="226"/>
        <v>-1459</v>
      </c>
      <c r="K386" s="106"/>
      <c r="L386" s="107"/>
      <c r="M386" s="26">
        <f t="shared" si="227"/>
        <v>-1459</v>
      </c>
      <c r="N386" s="117"/>
      <c r="O386" s="117"/>
      <c r="P386" s="38">
        <f t="shared" si="228"/>
        <v>-1459</v>
      </c>
      <c r="Q386" s="106"/>
      <c r="R386" s="107"/>
      <c r="S386" s="26">
        <f t="shared" si="229"/>
        <v>-1459</v>
      </c>
      <c r="T386" s="136"/>
      <c r="U386" s="136"/>
      <c r="V386" s="45">
        <f t="shared" si="230"/>
        <v>-1459</v>
      </c>
      <c r="W386" s="143"/>
    </row>
    <row r="387" spans="1:23" ht="15.75" customHeight="1">
      <c r="A387" s="114"/>
      <c r="B387" s="117"/>
      <c r="C387" s="117"/>
      <c r="D387" s="45">
        <f t="shared" si="224"/>
        <v>-1459</v>
      </c>
      <c r="E387" s="106"/>
      <c r="F387" s="107"/>
      <c r="G387" s="26">
        <f t="shared" si="225"/>
        <v>-1459</v>
      </c>
      <c r="H387" s="117"/>
      <c r="I387" s="117"/>
      <c r="J387" s="19">
        <f t="shared" si="226"/>
        <v>-1459</v>
      </c>
      <c r="K387" s="106"/>
      <c r="L387" s="107"/>
      <c r="M387" s="26">
        <f t="shared" si="227"/>
        <v>-1459</v>
      </c>
      <c r="N387" s="117"/>
      <c r="O387" s="117"/>
      <c r="P387" s="38">
        <f t="shared" si="228"/>
        <v>-1459</v>
      </c>
      <c r="Q387" s="106"/>
      <c r="R387" s="107"/>
      <c r="S387" s="26">
        <f t="shared" si="229"/>
        <v>-1459</v>
      </c>
      <c r="T387" s="136"/>
      <c r="U387" s="136"/>
      <c r="V387" s="45">
        <f t="shared" si="230"/>
        <v>-1459</v>
      </c>
      <c r="W387" s="143"/>
    </row>
    <row r="388" spans="1:23" ht="15.75" customHeight="1">
      <c r="A388" s="114"/>
      <c r="B388" s="117"/>
      <c r="C388" s="117"/>
      <c r="D388" s="45">
        <f t="shared" si="224"/>
        <v>-1459</v>
      </c>
      <c r="E388" s="106"/>
      <c r="F388" s="107"/>
      <c r="G388" s="26">
        <f t="shared" si="225"/>
        <v>-1459</v>
      </c>
      <c r="H388" s="117"/>
      <c r="I388" s="117"/>
      <c r="J388" s="19">
        <f t="shared" si="226"/>
        <v>-1459</v>
      </c>
      <c r="K388" s="106"/>
      <c r="L388" s="107"/>
      <c r="M388" s="26">
        <f t="shared" si="227"/>
        <v>-1459</v>
      </c>
      <c r="N388" s="117"/>
      <c r="O388" s="117"/>
      <c r="P388" s="38">
        <f t="shared" si="228"/>
        <v>-1459</v>
      </c>
      <c r="Q388" s="106"/>
      <c r="R388" s="107"/>
      <c r="S388" s="26">
        <f t="shared" si="229"/>
        <v>-1459</v>
      </c>
      <c r="T388" s="136"/>
      <c r="U388" s="136"/>
      <c r="V388" s="45">
        <f t="shared" si="230"/>
        <v>-1459</v>
      </c>
      <c r="W388" s="143"/>
    </row>
    <row r="389" spans="1:23" ht="15.75" customHeight="1">
      <c r="A389" s="114"/>
      <c r="B389" s="117"/>
      <c r="C389" s="117"/>
      <c r="D389" s="45">
        <f t="shared" si="224"/>
        <v>-1459</v>
      </c>
      <c r="E389" s="122"/>
      <c r="F389" s="123"/>
      <c r="G389" s="26">
        <f t="shared" si="225"/>
        <v>-1459</v>
      </c>
      <c r="H389" s="133"/>
      <c r="I389" s="117"/>
      <c r="J389" s="19">
        <f t="shared" si="226"/>
        <v>-1459</v>
      </c>
      <c r="K389" s="122"/>
      <c r="L389" s="123"/>
      <c r="M389" s="26">
        <f t="shared" si="227"/>
        <v>-1459</v>
      </c>
      <c r="N389" s="117"/>
      <c r="O389" s="117"/>
      <c r="P389" s="38">
        <f t="shared" si="228"/>
        <v>-1459</v>
      </c>
      <c r="Q389" s="122"/>
      <c r="R389" s="123"/>
      <c r="S389" s="26">
        <f t="shared" si="229"/>
        <v>-1459</v>
      </c>
      <c r="T389" s="136"/>
      <c r="U389" s="136"/>
      <c r="V389" s="45">
        <f t="shared" si="230"/>
        <v>-1459</v>
      </c>
      <c r="W389" s="143"/>
    </row>
    <row r="390" spans="1:23" ht="15.75" customHeight="1">
      <c r="A390" s="114"/>
      <c r="B390" s="128"/>
      <c r="C390" s="128"/>
      <c r="D390" s="46">
        <f t="shared" si="224"/>
        <v>-1459</v>
      </c>
      <c r="E390" s="122"/>
      <c r="F390" s="123"/>
      <c r="G390" s="39">
        <f t="shared" si="225"/>
        <v>-1459</v>
      </c>
      <c r="H390" s="140"/>
      <c r="I390" s="128"/>
      <c r="J390" s="29">
        <f t="shared" si="226"/>
        <v>-1459</v>
      </c>
      <c r="K390" s="122"/>
      <c r="L390" s="123"/>
      <c r="M390" s="39">
        <f t="shared" si="227"/>
        <v>-1459</v>
      </c>
      <c r="N390" s="128"/>
      <c r="O390" s="128"/>
      <c r="P390" s="40">
        <f t="shared" si="228"/>
        <v>-1459</v>
      </c>
      <c r="Q390" s="122"/>
      <c r="R390" s="123"/>
      <c r="S390" s="39">
        <f t="shared" si="229"/>
        <v>-1459</v>
      </c>
      <c r="T390" s="141"/>
      <c r="U390" s="141"/>
      <c r="V390" s="46">
        <f t="shared" si="230"/>
        <v>-1459</v>
      </c>
      <c r="W390" s="143"/>
    </row>
    <row r="391" spans="1:23" ht="15.75" customHeight="1">
      <c r="A391" s="87"/>
      <c r="B391" s="77">
        <f ca="1">IFERROR(__xludf.DUMMYFUNCTION("DATE(VALUE(LEFT($B$2,4)),VALUE(MID($B$2,6,2)),VALUE(RIGHT($B$2,2)))
+ (VALUE(REGEXEXTRACT(INDIRECT(""A""&amp;ROW()+1),""\d+""))-1)*7
+ INT((COLUMN()-COLUMN($B391))/3)
"),47713)</f>
        <v>47713</v>
      </c>
      <c r="C391" s="81"/>
      <c r="D391" s="82"/>
      <c r="E391" s="77">
        <f ca="1">IFERROR(__xludf.DUMMYFUNCTION("DATE(VALUE(LEFT($B$2,4)),VALUE(MID($B$2,6,2)),VALUE(RIGHT($B$2,2)))
+ (VALUE(REGEXEXTRACT(INDIRECT(""A""&amp;ROW()+1),""\d+""))-1)*7
+ INT((COLUMN()-COLUMN($B391))/3)
"),47714)</f>
        <v>47714</v>
      </c>
      <c r="F391" s="81"/>
      <c r="G391" s="82"/>
      <c r="H391" s="77">
        <f ca="1">IFERROR(__xludf.DUMMYFUNCTION("DATE(VALUE(LEFT($B$2,4)),VALUE(MID($B$2,6,2)),VALUE(RIGHT($B$2,2)))
+ (VALUE(REGEXEXTRACT(INDIRECT(""A""&amp;ROW()+1),""\d+""))-1)*7
+ INT((COLUMN()-COLUMN($B391))/3)
"),47715)</f>
        <v>47715</v>
      </c>
      <c r="I391" s="81"/>
      <c r="J391" s="82"/>
      <c r="K391" s="77">
        <f ca="1">IFERROR(__xludf.DUMMYFUNCTION("DATE(VALUE(LEFT($B$2,4)),VALUE(MID($B$2,6,2)),VALUE(RIGHT($B$2,2)))
+ (VALUE(REGEXEXTRACT(INDIRECT(""A""&amp;ROW()+1),""\d+""))-1)*7
+ INT((COLUMN()-COLUMN($B391))/3)
"),47716)</f>
        <v>47716</v>
      </c>
      <c r="L391" s="81"/>
      <c r="M391" s="82"/>
      <c r="N391" s="77">
        <f ca="1">IFERROR(__xludf.DUMMYFUNCTION("DATE(VALUE(LEFT($B$2,4)),VALUE(MID($B$2,6,2)),VALUE(RIGHT($B$2,2)))
+ (VALUE(REGEXEXTRACT(INDIRECT(""A""&amp;ROW()+1),""\d+""))-1)*7
+ INT((COLUMN()-COLUMN($B391))/3)
"),47717)</f>
        <v>47717</v>
      </c>
      <c r="O391" s="81"/>
      <c r="P391" s="82"/>
      <c r="Q391" s="77">
        <f ca="1">IFERROR(__xludf.DUMMYFUNCTION("DATE(VALUE(LEFT($B$2,4)),VALUE(MID($B$2,6,2)),VALUE(RIGHT($B$2,2)))
+ (VALUE(REGEXEXTRACT(INDIRECT(""A""&amp;ROW()+1),""\d+""))-1)*7
+ INT((COLUMN()-COLUMN($B391))/3)
"),47718)</f>
        <v>47718</v>
      </c>
      <c r="R391" s="81"/>
      <c r="S391" s="82"/>
      <c r="T391" s="77">
        <f ca="1">IFERROR(__xludf.DUMMYFUNCTION("DATE(VALUE(LEFT($B$2,4)),VALUE(MID($B$2,6,2)),VALUE(RIGHT($B$2,2)))
+ (VALUE(REGEXEXTRACT(INDIRECT(""A""&amp;ROW()+1),""\d+""))-1)*7
+ INT((COLUMN()-COLUMN($B391))/3)
"),47719)</f>
        <v>47719</v>
      </c>
      <c r="U391" s="81"/>
      <c r="V391" s="82"/>
      <c r="W391" s="143"/>
    </row>
    <row r="392" spans="1:23" ht="15.75" customHeight="1">
      <c r="A392" s="51" t="s">
        <v>162</v>
      </c>
      <c r="B392" s="112"/>
      <c r="C392" s="111"/>
      <c r="D392" s="48">
        <f>V390+C392</f>
        <v>-1459</v>
      </c>
      <c r="E392" s="113"/>
      <c r="F392" s="109"/>
      <c r="G392" s="42">
        <f>D402+F392</f>
        <v>-1459</v>
      </c>
      <c r="H392" s="110"/>
      <c r="I392" s="111"/>
      <c r="J392" s="17">
        <f>G402+I392</f>
        <v>-1459</v>
      </c>
      <c r="K392" s="109"/>
      <c r="L392" s="109"/>
      <c r="M392" s="35">
        <f>J402+L392</f>
        <v>-1459</v>
      </c>
      <c r="N392" s="112"/>
      <c r="O392" s="111"/>
      <c r="P392" s="17">
        <f>M402+O392</f>
        <v>-1459</v>
      </c>
      <c r="Q392" s="109"/>
      <c r="R392" s="109"/>
      <c r="S392" s="35">
        <f>P402+R392</f>
        <v>-1459</v>
      </c>
      <c r="T392" s="112"/>
      <c r="U392" s="111"/>
      <c r="V392" s="48">
        <f>S402+U392</f>
        <v>-1459</v>
      </c>
      <c r="W392" s="143"/>
    </row>
    <row r="393" spans="1:23" ht="15.75" customHeight="1">
      <c r="A393" s="114"/>
      <c r="B393" s="106"/>
      <c r="C393" s="107"/>
      <c r="D393" s="20">
        <f t="shared" ref="D393:D402" si="231">D392+C393</f>
        <v>-1459</v>
      </c>
      <c r="E393" s="118"/>
      <c r="F393" s="117"/>
      <c r="G393" s="19">
        <f t="shared" ref="G393:G402" si="232">G392+F393</f>
        <v>-1459</v>
      </c>
      <c r="H393" s="116"/>
      <c r="I393" s="107"/>
      <c r="J393" s="26">
        <f t="shared" ref="J393:J402" si="233">J392+I393</f>
        <v>-1459</v>
      </c>
      <c r="K393" s="117"/>
      <c r="L393" s="117"/>
      <c r="M393" s="38">
        <f t="shared" ref="M393:M402" si="234">M392+L393</f>
        <v>-1459</v>
      </c>
      <c r="N393" s="106"/>
      <c r="O393" s="107"/>
      <c r="P393" s="26">
        <f t="shared" ref="P393:P402" si="235">P392+O393</f>
        <v>-1459</v>
      </c>
      <c r="Q393" s="117"/>
      <c r="R393" s="117"/>
      <c r="S393" s="38">
        <f t="shared" ref="S393:S402" si="236">S392+R393</f>
        <v>-1459</v>
      </c>
      <c r="T393" s="106"/>
      <c r="U393" s="107"/>
      <c r="V393" s="20">
        <f t="shared" ref="V393:V402" si="237">V392+U393</f>
        <v>-1459</v>
      </c>
      <c r="W393" s="143"/>
    </row>
    <row r="394" spans="1:23" ht="15.75" customHeight="1">
      <c r="A394" s="114"/>
      <c r="B394" s="106"/>
      <c r="C394" s="107"/>
      <c r="D394" s="20">
        <f t="shared" si="231"/>
        <v>-1459</v>
      </c>
      <c r="E394" s="118"/>
      <c r="F394" s="117"/>
      <c r="G394" s="19">
        <f t="shared" si="232"/>
        <v>-1459</v>
      </c>
      <c r="H394" s="116"/>
      <c r="I394" s="107"/>
      <c r="J394" s="26">
        <f t="shared" si="233"/>
        <v>-1459</v>
      </c>
      <c r="K394" s="117"/>
      <c r="L394" s="117"/>
      <c r="M394" s="38">
        <f t="shared" si="234"/>
        <v>-1459</v>
      </c>
      <c r="N394" s="106"/>
      <c r="O394" s="107"/>
      <c r="P394" s="26">
        <f t="shared" si="235"/>
        <v>-1459</v>
      </c>
      <c r="Q394" s="117"/>
      <c r="R394" s="117"/>
      <c r="S394" s="38">
        <f t="shared" si="236"/>
        <v>-1459</v>
      </c>
      <c r="T394" s="106"/>
      <c r="U394" s="116"/>
      <c r="V394" s="20">
        <f t="shared" si="237"/>
        <v>-1459</v>
      </c>
      <c r="W394" s="143"/>
    </row>
    <row r="395" spans="1:23" ht="15.75" customHeight="1">
      <c r="A395" s="114"/>
      <c r="B395" s="106"/>
      <c r="C395" s="107"/>
      <c r="D395" s="20">
        <f t="shared" si="231"/>
        <v>-1459</v>
      </c>
      <c r="E395" s="118"/>
      <c r="F395" s="117"/>
      <c r="G395" s="19">
        <f t="shared" si="232"/>
        <v>-1459</v>
      </c>
      <c r="H395" s="116"/>
      <c r="I395" s="107"/>
      <c r="J395" s="26">
        <f t="shared" si="233"/>
        <v>-1459</v>
      </c>
      <c r="K395" s="117"/>
      <c r="L395" s="117"/>
      <c r="M395" s="38">
        <f t="shared" si="234"/>
        <v>-1459</v>
      </c>
      <c r="N395" s="106"/>
      <c r="O395" s="107"/>
      <c r="P395" s="26">
        <f t="shared" si="235"/>
        <v>-1459</v>
      </c>
      <c r="Q395" s="117"/>
      <c r="R395" s="117"/>
      <c r="S395" s="38">
        <f t="shared" si="236"/>
        <v>-1459</v>
      </c>
      <c r="T395" s="106"/>
      <c r="U395" s="116"/>
      <c r="V395" s="20">
        <f t="shared" si="237"/>
        <v>-1459</v>
      </c>
      <c r="W395" s="143"/>
    </row>
    <row r="396" spans="1:23" ht="15.75" customHeight="1">
      <c r="A396" s="114"/>
      <c r="B396" s="106"/>
      <c r="C396" s="107"/>
      <c r="D396" s="20">
        <f t="shared" si="231"/>
        <v>-1459</v>
      </c>
      <c r="E396" s="118"/>
      <c r="F396" s="117"/>
      <c r="G396" s="19">
        <f t="shared" si="232"/>
        <v>-1459</v>
      </c>
      <c r="H396" s="116"/>
      <c r="I396" s="107"/>
      <c r="J396" s="26">
        <f t="shared" si="233"/>
        <v>-1459</v>
      </c>
      <c r="K396" s="117"/>
      <c r="L396" s="117"/>
      <c r="M396" s="38">
        <f t="shared" si="234"/>
        <v>-1459</v>
      </c>
      <c r="N396" s="106"/>
      <c r="O396" s="107"/>
      <c r="P396" s="26">
        <f t="shared" si="235"/>
        <v>-1459</v>
      </c>
      <c r="Q396" s="117"/>
      <c r="R396" s="117"/>
      <c r="S396" s="38">
        <f t="shared" si="236"/>
        <v>-1459</v>
      </c>
      <c r="T396" s="106"/>
      <c r="U396" s="116"/>
      <c r="V396" s="20">
        <f t="shared" si="237"/>
        <v>-1459</v>
      </c>
      <c r="W396" s="143"/>
    </row>
    <row r="397" spans="1:23" ht="15.75" customHeight="1">
      <c r="A397" s="114"/>
      <c r="B397" s="106"/>
      <c r="C397" s="107"/>
      <c r="D397" s="20">
        <f t="shared" si="231"/>
        <v>-1459</v>
      </c>
      <c r="E397" s="118"/>
      <c r="F397" s="117"/>
      <c r="G397" s="19">
        <f t="shared" si="232"/>
        <v>-1459</v>
      </c>
      <c r="H397" s="116"/>
      <c r="I397" s="107"/>
      <c r="J397" s="26">
        <f t="shared" si="233"/>
        <v>-1459</v>
      </c>
      <c r="K397" s="117"/>
      <c r="L397" s="117"/>
      <c r="M397" s="38">
        <f t="shared" si="234"/>
        <v>-1459</v>
      </c>
      <c r="N397" s="106"/>
      <c r="O397" s="107"/>
      <c r="P397" s="26">
        <f t="shared" si="235"/>
        <v>-1459</v>
      </c>
      <c r="Q397" s="117"/>
      <c r="R397" s="117"/>
      <c r="S397" s="38">
        <f t="shared" si="236"/>
        <v>-1459</v>
      </c>
      <c r="T397" s="106"/>
      <c r="U397" s="116"/>
      <c r="V397" s="20">
        <f t="shared" si="237"/>
        <v>-1459</v>
      </c>
      <c r="W397" s="143"/>
    </row>
    <row r="398" spans="1:23" ht="15.75" customHeight="1">
      <c r="A398" s="114"/>
      <c r="B398" s="106"/>
      <c r="C398" s="107"/>
      <c r="D398" s="20">
        <f t="shared" si="231"/>
        <v>-1459</v>
      </c>
      <c r="E398" s="118"/>
      <c r="F398" s="117"/>
      <c r="G398" s="19">
        <f t="shared" si="232"/>
        <v>-1459</v>
      </c>
      <c r="H398" s="116"/>
      <c r="I398" s="107"/>
      <c r="J398" s="26">
        <f t="shared" si="233"/>
        <v>-1459</v>
      </c>
      <c r="K398" s="117"/>
      <c r="L398" s="117"/>
      <c r="M398" s="38">
        <f t="shared" si="234"/>
        <v>-1459</v>
      </c>
      <c r="N398" s="106"/>
      <c r="O398" s="107"/>
      <c r="P398" s="26">
        <f t="shared" si="235"/>
        <v>-1459</v>
      </c>
      <c r="Q398" s="117"/>
      <c r="R398" s="117"/>
      <c r="S398" s="38">
        <f t="shared" si="236"/>
        <v>-1459</v>
      </c>
      <c r="T398" s="106"/>
      <c r="U398" s="116"/>
      <c r="V398" s="20">
        <f t="shared" si="237"/>
        <v>-1459</v>
      </c>
      <c r="W398" s="143"/>
    </row>
    <row r="399" spans="1:23" ht="15.75" customHeight="1">
      <c r="A399" s="114"/>
      <c r="B399" s="106"/>
      <c r="C399" s="107"/>
      <c r="D399" s="20">
        <f t="shared" si="231"/>
        <v>-1459</v>
      </c>
      <c r="E399" s="118"/>
      <c r="F399" s="117"/>
      <c r="G399" s="19">
        <f t="shared" si="232"/>
        <v>-1459</v>
      </c>
      <c r="H399" s="116"/>
      <c r="I399" s="107"/>
      <c r="J399" s="26">
        <f t="shared" si="233"/>
        <v>-1459</v>
      </c>
      <c r="K399" s="117"/>
      <c r="L399" s="117"/>
      <c r="M399" s="38">
        <f t="shared" si="234"/>
        <v>-1459</v>
      </c>
      <c r="N399" s="106"/>
      <c r="O399" s="107"/>
      <c r="P399" s="26">
        <f t="shared" si="235"/>
        <v>-1459</v>
      </c>
      <c r="Q399" s="117"/>
      <c r="R399" s="117"/>
      <c r="S399" s="38">
        <f t="shared" si="236"/>
        <v>-1459</v>
      </c>
      <c r="T399" s="106"/>
      <c r="U399" s="116"/>
      <c r="V399" s="20">
        <f t="shared" si="237"/>
        <v>-1459</v>
      </c>
      <c r="W399" s="143"/>
    </row>
    <row r="400" spans="1:23" ht="15.75" customHeight="1">
      <c r="A400" s="114"/>
      <c r="B400" s="122"/>
      <c r="C400" s="123"/>
      <c r="D400" s="20">
        <f t="shared" si="231"/>
        <v>-1459</v>
      </c>
      <c r="E400" s="118"/>
      <c r="F400" s="117"/>
      <c r="G400" s="19">
        <f t="shared" si="232"/>
        <v>-1459</v>
      </c>
      <c r="H400" s="124"/>
      <c r="I400" s="123"/>
      <c r="J400" s="26">
        <f t="shared" si="233"/>
        <v>-1459</v>
      </c>
      <c r="K400" s="117"/>
      <c r="L400" s="117"/>
      <c r="M400" s="38">
        <f t="shared" si="234"/>
        <v>-1459</v>
      </c>
      <c r="N400" s="122"/>
      <c r="O400" s="123"/>
      <c r="P400" s="26">
        <f t="shared" si="235"/>
        <v>-1459</v>
      </c>
      <c r="Q400" s="117"/>
      <c r="R400" s="117"/>
      <c r="S400" s="38">
        <f t="shared" si="236"/>
        <v>-1459</v>
      </c>
      <c r="T400" s="106"/>
      <c r="U400" s="116"/>
      <c r="V400" s="20">
        <f t="shared" si="237"/>
        <v>-1459</v>
      </c>
      <c r="W400" s="143"/>
    </row>
    <row r="401" spans="1:23" ht="15.75" customHeight="1">
      <c r="A401" s="114"/>
      <c r="B401" s="122"/>
      <c r="C401" s="123"/>
      <c r="D401" s="20">
        <f t="shared" si="231"/>
        <v>-1459</v>
      </c>
      <c r="E401" s="118"/>
      <c r="F401" s="117"/>
      <c r="G401" s="19">
        <f t="shared" si="232"/>
        <v>-1459</v>
      </c>
      <c r="H401" s="124"/>
      <c r="I401" s="123"/>
      <c r="J401" s="26">
        <f t="shared" si="233"/>
        <v>-1459</v>
      </c>
      <c r="K401" s="117"/>
      <c r="L401" s="117"/>
      <c r="M401" s="38">
        <f t="shared" si="234"/>
        <v>-1459</v>
      </c>
      <c r="N401" s="122"/>
      <c r="O401" s="123"/>
      <c r="P401" s="26">
        <f t="shared" si="235"/>
        <v>-1459</v>
      </c>
      <c r="Q401" s="117"/>
      <c r="R401" s="117"/>
      <c r="S401" s="38">
        <f t="shared" si="236"/>
        <v>-1459</v>
      </c>
      <c r="T401" s="122"/>
      <c r="U401" s="124"/>
      <c r="V401" s="20">
        <f t="shared" si="237"/>
        <v>-1459</v>
      </c>
      <c r="W401" s="143"/>
    </row>
    <row r="402" spans="1:23" ht="15.75" customHeight="1">
      <c r="A402" s="114"/>
      <c r="B402" s="122"/>
      <c r="C402" s="123"/>
      <c r="D402" s="49">
        <f t="shared" si="231"/>
        <v>-1459</v>
      </c>
      <c r="E402" s="154"/>
      <c r="F402" s="128"/>
      <c r="G402" s="29">
        <f t="shared" si="232"/>
        <v>-1459</v>
      </c>
      <c r="H402" s="124"/>
      <c r="I402" s="123"/>
      <c r="J402" s="39">
        <f t="shared" si="233"/>
        <v>-1459</v>
      </c>
      <c r="K402" s="128"/>
      <c r="L402" s="128"/>
      <c r="M402" s="40">
        <f t="shared" si="234"/>
        <v>-1459</v>
      </c>
      <c r="N402" s="122"/>
      <c r="O402" s="123"/>
      <c r="P402" s="39">
        <f t="shared" si="235"/>
        <v>-1459</v>
      </c>
      <c r="Q402" s="128"/>
      <c r="R402" s="128"/>
      <c r="S402" s="40">
        <f t="shared" si="236"/>
        <v>-1459</v>
      </c>
      <c r="T402" s="122"/>
      <c r="U402" s="123"/>
      <c r="V402" s="49">
        <f t="shared" si="237"/>
        <v>-1459</v>
      </c>
      <c r="W402" s="143"/>
    </row>
    <row r="403" spans="1:23" ht="15.75" customHeight="1">
      <c r="A403" s="87"/>
      <c r="B403" s="77">
        <f ca="1">IFERROR(__xludf.DUMMYFUNCTION("DATE(VALUE(LEFT($B$2,4)),VALUE(MID($B$2,6,2)),VALUE(RIGHT($B$2,2)))
+ (VALUE(REGEXEXTRACT(INDIRECT(""A""&amp;ROW()+1),""\d+""))-1)*7
+ INT((COLUMN()-COLUMN($B403))/3)
"),47720)</f>
        <v>47720</v>
      </c>
      <c r="C403" s="81"/>
      <c r="D403" s="82"/>
      <c r="E403" s="77">
        <f ca="1">IFERROR(__xludf.DUMMYFUNCTION("DATE(VALUE(LEFT($B$2,4)),VALUE(MID($B$2,6,2)),VALUE(RIGHT($B$2,2)))
+ (VALUE(REGEXEXTRACT(INDIRECT(""A""&amp;ROW()+1),""\d+""))-1)*7
+ INT((COLUMN()-COLUMN($B403))/3)
"),47721)</f>
        <v>47721</v>
      </c>
      <c r="F403" s="81"/>
      <c r="G403" s="82"/>
      <c r="H403" s="77">
        <f ca="1">IFERROR(__xludf.DUMMYFUNCTION("DATE(VALUE(LEFT($B$2,4)),VALUE(MID($B$2,6,2)),VALUE(RIGHT($B$2,2)))
+ (VALUE(REGEXEXTRACT(INDIRECT(""A""&amp;ROW()+1),""\d+""))-1)*7
+ INT((COLUMN()-COLUMN($B403))/3)
"),47722)</f>
        <v>47722</v>
      </c>
      <c r="I403" s="81"/>
      <c r="J403" s="82"/>
      <c r="K403" s="77">
        <f ca="1">IFERROR(__xludf.DUMMYFUNCTION("DATE(VALUE(LEFT($B$2,4)),VALUE(MID($B$2,6,2)),VALUE(RIGHT($B$2,2)))
+ (VALUE(REGEXEXTRACT(INDIRECT(""A""&amp;ROW()+1),""\d+""))-1)*7
+ INT((COLUMN()-COLUMN($B403))/3)
"),47723)</f>
        <v>47723</v>
      </c>
      <c r="L403" s="81"/>
      <c r="M403" s="82"/>
      <c r="N403" s="77">
        <f ca="1">IFERROR(__xludf.DUMMYFUNCTION("DATE(VALUE(LEFT($B$2,4)),VALUE(MID($B$2,6,2)),VALUE(RIGHT($B$2,2)))
+ (VALUE(REGEXEXTRACT(INDIRECT(""A""&amp;ROW()+1),""\d+""))-1)*7
+ INT((COLUMN()-COLUMN($B403))/3)
"),47724)</f>
        <v>47724</v>
      </c>
      <c r="O403" s="81"/>
      <c r="P403" s="82"/>
      <c r="Q403" s="77">
        <f ca="1">IFERROR(__xludf.DUMMYFUNCTION("DATE(VALUE(LEFT($B$2,4)),VALUE(MID($B$2,6,2)),VALUE(RIGHT($B$2,2)))
+ (VALUE(REGEXEXTRACT(INDIRECT(""A""&amp;ROW()+1),""\d+""))-1)*7
+ INT((COLUMN()-COLUMN($B403))/3)
"),47725)</f>
        <v>47725</v>
      </c>
      <c r="R403" s="81"/>
      <c r="S403" s="82"/>
      <c r="T403" s="77">
        <f ca="1">IFERROR(__xludf.DUMMYFUNCTION("DATE(VALUE(LEFT($B$2,4)),VALUE(MID($B$2,6,2)),VALUE(RIGHT($B$2,2)))
+ (VALUE(REGEXEXTRACT(INDIRECT(""A""&amp;ROW()+1),""\d+""))-1)*7
+ INT((COLUMN()-COLUMN($B403))/3)
"),47726)</f>
        <v>47726</v>
      </c>
      <c r="U403" s="81"/>
      <c r="V403" s="82"/>
      <c r="W403" s="52" t="s">
        <v>20</v>
      </c>
    </row>
    <row r="404" spans="1:23" ht="15.75" customHeight="1">
      <c r="A404" s="47" t="s">
        <v>163</v>
      </c>
      <c r="B404" s="113"/>
      <c r="C404" s="109"/>
      <c r="D404" s="50">
        <f>V402+C404</f>
        <v>-1459</v>
      </c>
      <c r="E404" s="112"/>
      <c r="F404" s="111"/>
      <c r="G404" s="17">
        <f>D414+F404</f>
        <v>-1459</v>
      </c>
      <c r="H404" s="132"/>
      <c r="I404" s="109"/>
      <c r="J404" s="42">
        <f>G414+I404</f>
        <v>-1459</v>
      </c>
      <c r="K404" s="112"/>
      <c r="L404" s="111"/>
      <c r="M404" s="18">
        <f>J414+L404</f>
        <v>-1459</v>
      </c>
      <c r="N404" s="113"/>
      <c r="O404" s="109"/>
      <c r="P404" s="35">
        <f>M414+O404</f>
        <v>-1459</v>
      </c>
      <c r="Q404" s="112"/>
      <c r="R404" s="111"/>
      <c r="S404" s="18">
        <f>P414+R404</f>
        <v>-1459</v>
      </c>
      <c r="T404" s="173"/>
      <c r="U404" s="173"/>
      <c r="V404" s="50">
        <f>S414+U404</f>
        <v>-1459</v>
      </c>
      <c r="W404" s="172"/>
    </row>
    <row r="405" spans="1:23" ht="15.75" customHeight="1">
      <c r="A405" s="114"/>
      <c r="B405" s="118"/>
      <c r="C405" s="117"/>
      <c r="D405" s="45">
        <f t="shared" ref="D405:D414" si="238">D404+C405</f>
        <v>-1459</v>
      </c>
      <c r="E405" s="106"/>
      <c r="F405" s="107"/>
      <c r="G405" s="26">
        <f t="shared" ref="G405:G414" si="239">G404+F405</f>
        <v>-1459</v>
      </c>
      <c r="H405" s="133"/>
      <c r="I405" s="117"/>
      <c r="J405" s="19">
        <f t="shared" ref="J405:J414" si="240">J404+I405</f>
        <v>-1459</v>
      </c>
      <c r="K405" s="106"/>
      <c r="L405" s="107"/>
      <c r="M405" s="26">
        <f t="shared" ref="M405:M414" si="241">M404+L405</f>
        <v>-1459</v>
      </c>
      <c r="N405" s="118"/>
      <c r="O405" s="117"/>
      <c r="P405" s="38">
        <f t="shared" ref="P405:P414" si="242">P404+O405</f>
        <v>-1459</v>
      </c>
      <c r="Q405" s="106"/>
      <c r="R405" s="107"/>
      <c r="S405" s="26">
        <f t="shared" ref="S405:S414" si="243">S404+R405</f>
        <v>-1459</v>
      </c>
      <c r="T405" s="136"/>
      <c r="U405" s="136"/>
      <c r="V405" s="45">
        <f t="shared" ref="V405:V414" si="244">V404+U405</f>
        <v>-1459</v>
      </c>
      <c r="W405" s="143"/>
    </row>
    <row r="406" spans="1:23" ht="15.75" customHeight="1">
      <c r="A406" s="114"/>
      <c r="B406" s="118"/>
      <c r="C406" s="117"/>
      <c r="D406" s="45">
        <f t="shared" si="238"/>
        <v>-1459</v>
      </c>
      <c r="E406" s="106"/>
      <c r="F406" s="107"/>
      <c r="G406" s="26">
        <f t="shared" si="239"/>
        <v>-1459</v>
      </c>
      <c r="H406" s="133"/>
      <c r="I406" s="117"/>
      <c r="J406" s="19">
        <f t="shared" si="240"/>
        <v>-1459</v>
      </c>
      <c r="K406" s="106"/>
      <c r="L406" s="107"/>
      <c r="M406" s="26">
        <f t="shared" si="241"/>
        <v>-1459</v>
      </c>
      <c r="N406" s="117"/>
      <c r="O406" s="117"/>
      <c r="P406" s="38">
        <f t="shared" si="242"/>
        <v>-1459</v>
      </c>
      <c r="Q406" s="106"/>
      <c r="R406" s="107"/>
      <c r="S406" s="26">
        <f t="shared" si="243"/>
        <v>-1459</v>
      </c>
      <c r="T406" s="136"/>
      <c r="U406" s="136"/>
      <c r="V406" s="45">
        <f t="shared" si="244"/>
        <v>-1459</v>
      </c>
      <c r="W406" s="143"/>
    </row>
    <row r="407" spans="1:23" ht="15.75" customHeight="1">
      <c r="A407" s="114"/>
      <c r="B407" s="118"/>
      <c r="C407" s="117"/>
      <c r="D407" s="45">
        <f t="shared" si="238"/>
        <v>-1459</v>
      </c>
      <c r="E407" s="106"/>
      <c r="F407" s="107"/>
      <c r="G407" s="26">
        <f t="shared" si="239"/>
        <v>-1459</v>
      </c>
      <c r="H407" s="133"/>
      <c r="I407" s="117"/>
      <c r="J407" s="19">
        <f t="shared" si="240"/>
        <v>-1459</v>
      </c>
      <c r="K407" s="106"/>
      <c r="L407" s="107"/>
      <c r="M407" s="26">
        <f t="shared" si="241"/>
        <v>-1459</v>
      </c>
      <c r="N407" s="117"/>
      <c r="O407" s="117"/>
      <c r="P407" s="38">
        <f t="shared" si="242"/>
        <v>-1459</v>
      </c>
      <c r="Q407" s="106"/>
      <c r="R407" s="107"/>
      <c r="S407" s="26">
        <f t="shared" si="243"/>
        <v>-1459</v>
      </c>
      <c r="T407" s="136"/>
      <c r="U407" s="136"/>
      <c r="V407" s="45">
        <f t="shared" si="244"/>
        <v>-1459</v>
      </c>
      <c r="W407" s="143"/>
    </row>
    <row r="408" spans="1:23" ht="15.75" customHeight="1">
      <c r="A408" s="114"/>
      <c r="B408" s="118"/>
      <c r="C408" s="117"/>
      <c r="D408" s="45">
        <f t="shared" si="238"/>
        <v>-1459</v>
      </c>
      <c r="E408" s="106"/>
      <c r="F408" s="107"/>
      <c r="G408" s="26">
        <f t="shared" si="239"/>
        <v>-1459</v>
      </c>
      <c r="H408" s="133"/>
      <c r="I408" s="117"/>
      <c r="J408" s="19">
        <f t="shared" si="240"/>
        <v>-1459</v>
      </c>
      <c r="K408" s="106"/>
      <c r="L408" s="107"/>
      <c r="M408" s="26">
        <f t="shared" si="241"/>
        <v>-1459</v>
      </c>
      <c r="N408" s="117"/>
      <c r="O408" s="117"/>
      <c r="P408" s="38">
        <f t="shared" si="242"/>
        <v>-1459</v>
      </c>
      <c r="Q408" s="106"/>
      <c r="R408" s="107"/>
      <c r="S408" s="26">
        <f t="shared" si="243"/>
        <v>-1459</v>
      </c>
      <c r="T408" s="136"/>
      <c r="U408" s="136"/>
      <c r="V408" s="45">
        <f t="shared" si="244"/>
        <v>-1459</v>
      </c>
      <c r="W408" s="143"/>
    </row>
    <row r="409" spans="1:23" ht="15.75" customHeight="1">
      <c r="A409" s="114"/>
      <c r="B409" s="118"/>
      <c r="C409" s="117"/>
      <c r="D409" s="45">
        <f t="shared" si="238"/>
        <v>-1459</v>
      </c>
      <c r="E409" s="106"/>
      <c r="F409" s="107"/>
      <c r="G409" s="26">
        <f t="shared" si="239"/>
        <v>-1459</v>
      </c>
      <c r="H409" s="133"/>
      <c r="I409" s="117"/>
      <c r="J409" s="19">
        <f t="shared" si="240"/>
        <v>-1459</v>
      </c>
      <c r="K409" s="106"/>
      <c r="L409" s="107"/>
      <c r="M409" s="26">
        <f t="shared" si="241"/>
        <v>-1459</v>
      </c>
      <c r="N409" s="117"/>
      <c r="O409" s="117"/>
      <c r="P409" s="38">
        <f t="shared" si="242"/>
        <v>-1459</v>
      </c>
      <c r="Q409" s="106"/>
      <c r="R409" s="107"/>
      <c r="S409" s="26">
        <f t="shared" si="243"/>
        <v>-1459</v>
      </c>
      <c r="T409" s="136"/>
      <c r="U409" s="136"/>
      <c r="V409" s="45">
        <f t="shared" si="244"/>
        <v>-1459</v>
      </c>
      <c r="W409" s="143"/>
    </row>
    <row r="410" spans="1:23" ht="15.75" customHeight="1">
      <c r="A410" s="114"/>
      <c r="B410" s="117"/>
      <c r="C410" s="117"/>
      <c r="D410" s="45">
        <f t="shared" si="238"/>
        <v>-1459</v>
      </c>
      <c r="E410" s="106"/>
      <c r="F410" s="107"/>
      <c r="G410" s="26">
        <f t="shared" si="239"/>
        <v>-1459</v>
      </c>
      <c r="H410" s="133"/>
      <c r="I410" s="117"/>
      <c r="J410" s="19">
        <f t="shared" si="240"/>
        <v>-1459</v>
      </c>
      <c r="K410" s="106"/>
      <c r="L410" s="107"/>
      <c r="M410" s="26">
        <f t="shared" si="241"/>
        <v>-1459</v>
      </c>
      <c r="N410" s="117"/>
      <c r="O410" s="117"/>
      <c r="P410" s="38">
        <f t="shared" si="242"/>
        <v>-1459</v>
      </c>
      <c r="Q410" s="106"/>
      <c r="R410" s="107"/>
      <c r="S410" s="26">
        <f t="shared" si="243"/>
        <v>-1459</v>
      </c>
      <c r="T410" s="136"/>
      <c r="U410" s="136"/>
      <c r="V410" s="45">
        <f t="shared" si="244"/>
        <v>-1459</v>
      </c>
      <c r="W410" s="143"/>
    </row>
    <row r="411" spans="1:23" ht="15.75" customHeight="1">
      <c r="A411" s="114"/>
      <c r="B411" s="117"/>
      <c r="C411" s="117"/>
      <c r="D411" s="45">
        <f t="shared" si="238"/>
        <v>-1459</v>
      </c>
      <c r="E411" s="106"/>
      <c r="F411" s="107"/>
      <c r="G411" s="26">
        <f t="shared" si="239"/>
        <v>-1459</v>
      </c>
      <c r="H411" s="133"/>
      <c r="I411" s="117"/>
      <c r="J411" s="19">
        <f t="shared" si="240"/>
        <v>-1459</v>
      </c>
      <c r="K411" s="106"/>
      <c r="L411" s="107"/>
      <c r="M411" s="26">
        <f t="shared" si="241"/>
        <v>-1459</v>
      </c>
      <c r="N411" s="117"/>
      <c r="O411" s="117"/>
      <c r="P411" s="38">
        <f t="shared" si="242"/>
        <v>-1459</v>
      </c>
      <c r="Q411" s="106"/>
      <c r="R411" s="107"/>
      <c r="S411" s="26">
        <f t="shared" si="243"/>
        <v>-1459</v>
      </c>
      <c r="T411" s="136"/>
      <c r="U411" s="136"/>
      <c r="V411" s="45">
        <f t="shared" si="244"/>
        <v>-1459</v>
      </c>
      <c r="W411" s="143"/>
    </row>
    <row r="412" spans="1:23" ht="15.75" customHeight="1">
      <c r="A412" s="114"/>
      <c r="B412" s="117"/>
      <c r="C412" s="117"/>
      <c r="D412" s="45">
        <f t="shared" si="238"/>
        <v>-1459</v>
      </c>
      <c r="E412" s="106"/>
      <c r="F412" s="107"/>
      <c r="G412" s="26">
        <f t="shared" si="239"/>
        <v>-1459</v>
      </c>
      <c r="H412" s="133"/>
      <c r="I412" s="117"/>
      <c r="J412" s="19">
        <f t="shared" si="240"/>
        <v>-1459</v>
      </c>
      <c r="K412" s="106"/>
      <c r="L412" s="107"/>
      <c r="M412" s="26">
        <f t="shared" si="241"/>
        <v>-1459</v>
      </c>
      <c r="N412" s="117"/>
      <c r="O412" s="117"/>
      <c r="P412" s="38">
        <f t="shared" si="242"/>
        <v>-1459</v>
      </c>
      <c r="Q412" s="106"/>
      <c r="R412" s="107"/>
      <c r="S412" s="26">
        <f t="shared" si="243"/>
        <v>-1459</v>
      </c>
      <c r="T412" s="136"/>
      <c r="U412" s="136"/>
      <c r="V412" s="45">
        <f t="shared" si="244"/>
        <v>-1459</v>
      </c>
      <c r="W412" s="143"/>
    </row>
    <row r="413" spans="1:23" ht="15.75" customHeight="1">
      <c r="A413" s="114"/>
      <c r="B413" s="117"/>
      <c r="C413" s="117"/>
      <c r="D413" s="45">
        <f t="shared" si="238"/>
        <v>-1459</v>
      </c>
      <c r="E413" s="122"/>
      <c r="F413" s="123"/>
      <c r="G413" s="26">
        <f t="shared" si="239"/>
        <v>-1459</v>
      </c>
      <c r="H413" s="133"/>
      <c r="I413" s="117"/>
      <c r="J413" s="19">
        <f t="shared" si="240"/>
        <v>-1459</v>
      </c>
      <c r="K413" s="122"/>
      <c r="L413" s="123"/>
      <c r="M413" s="26">
        <f t="shared" si="241"/>
        <v>-1459</v>
      </c>
      <c r="N413" s="117"/>
      <c r="O413" s="117"/>
      <c r="P413" s="38">
        <f t="shared" si="242"/>
        <v>-1459</v>
      </c>
      <c r="Q413" s="122"/>
      <c r="R413" s="123"/>
      <c r="S413" s="26">
        <f t="shared" si="243"/>
        <v>-1459</v>
      </c>
      <c r="T413" s="136"/>
      <c r="U413" s="136"/>
      <c r="V413" s="45">
        <f t="shared" si="244"/>
        <v>-1459</v>
      </c>
      <c r="W413" s="143"/>
    </row>
    <row r="414" spans="1:23" ht="15.75" customHeight="1">
      <c r="A414" s="114"/>
      <c r="B414" s="128"/>
      <c r="C414" s="128"/>
      <c r="D414" s="46">
        <f t="shared" si="238"/>
        <v>-1459</v>
      </c>
      <c r="E414" s="122"/>
      <c r="F414" s="123"/>
      <c r="G414" s="39">
        <f t="shared" si="239"/>
        <v>-1459</v>
      </c>
      <c r="H414" s="140"/>
      <c r="I414" s="128"/>
      <c r="J414" s="29">
        <f t="shared" si="240"/>
        <v>-1459</v>
      </c>
      <c r="K414" s="122"/>
      <c r="L414" s="123"/>
      <c r="M414" s="39">
        <f t="shared" si="241"/>
        <v>-1459</v>
      </c>
      <c r="N414" s="128"/>
      <c r="O414" s="128"/>
      <c r="P414" s="40">
        <f t="shared" si="242"/>
        <v>-1459</v>
      </c>
      <c r="Q414" s="122"/>
      <c r="R414" s="123"/>
      <c r="S414" s="39">
        <f t="shared" si="243"/>
        <v>-1459</v>
      </c>
      <c r="T414" s="141"/>
      <c r="U414" s="141"/>
      <c r="V414" s="46">
        <f t="shared" si="244"/>
        <v>-1459</v>
      </c>
      <c r="W414" s="143"/>
    </row>
    <row r="415" spans="1:23" ht="15.75" customHeight="1">
      <c r="A415" s="87"/>
      <c r="B415" s="77">
        <f ca="1">IFERROR(__xludf.DUMMYFUNCTION("DATE(VALUE(LEFT($B$2,4)),VALUE(MID($B$2,6,2)),VALUE(RIGHT($B$2,2)))
+ (VALUE(REGEXEXTRACT(INDIRECT(""A""&amp;ROW()+1),""\d+""))-1)*7
+ INT((COLUMN()-COLUMN($B415))/3)
"),47727)</f>
        <v>47727</v>
      </c>
      <c r="C415" s="81"/>
      <c r="D415" s="82"/>
      <c r="E415" s="77">
        <f ca="1">IFERROR(__xludf.DUMMYFUNCTION("DATE(VALUE(LEFT($B$2,4)),VALUE(MID($B$2,6,2)),VALUE(RIGHT($B$2,2)))
+ (VALUE(REGEXEXTRACT(INDIRECT(""A""&amp;ROW()+1),""\d+""))-1)*7
+ INT((COLUMN()-COLUMN($B415))/3)
"),47728)</f>
        <v>47728</v>
      </c>
      <c r="F415" s="81"/>
      <c r="G415" s="82"/>
      <c r="H415" s="77">
        <f ca="1">IFERROR(__xludf.DUMMYFUNCTION("DATE(VALUE(LEFT($B$2,4)),VALUE(MID($B$2,6,2)),VALUE(RIGHT($B$2,2)))
+ (VALUE(REGEXEXTRACT(INDIRECT(""A""&amp;ROW()+1),""\d+""))-1)*7
+ INT((COLUMN()-COLUMN($B415))/3)
"),47729)</f>
        <v>47729</v>
      </c>
      <c r="I415" s="81"/>
      <c r="J415" s="82"/>
      <c r="K415" s="77">
        <f ca="1">IFERROR(__xludf.DUMMYFUNCTION("DATE(VALUE(LEFT($B$2,4)),VALUE(MID($B$2,6,2)),VALUE(RIGHT($B$2,2)))
+ (VALUE(REGEXEXTRACT(INDIRECT(""A""&amp;ROW()+1),""\d+""))-1)*7
+ INT((COLUMN()-COLUMN($B415))/3)
"),47730)</f>
        <v>47730</v>
      </c>
      <c r="L415" s="81"/>
      <c r="M415" s="82"/>
      <c r="N415" s="77">
        <f ca="1">IFERROR(__xludf.DUMMYFUNCTION("DATE(VALUE(LEFT($B$2,4)),VALUE(MID($B$2,6,2)),VALUE(RIGHT($B$2,2)))
+ (VALUE(REGEXEXTRACT(INDIRECT(""A""&amp;ROW()+1),""\d+""))-1)*7
+ INT((COLUMN()-COLUMN($B415))/3)
"),47731)</f>
        <v>47731</v>
      </c>
      <c r="O415" s="81"/>
      <c r="P415" s="82"/>
      <c r="Q415" s="77">
        <f ca="1">IFERROR(__xludf.DUMMYFUNCTION("DATE(VALUE(LEFT($B$2,4)),VALUE(MID($B$2,6,2)),VALUE(RIGHT($B$2,2)))
+ (VALUE(REGEXEXTRACT(INDIRECT(""A""&amp;ROW()+1),""\d+""))-1)*7
+ INT((COLUMN()-COLUMN($B415))/3)
"),47732)</f>
        <v>47732</v>
      </c>
      <c r="R415" s="81"/>
      <c r="S415" s="82"/>
      <c r="T415" s="77">
        <f ca="1">IFERROR(__xludf.DUMMYFUNCTION("DATE(VALUE(LEFT($B$2,4)),VALUE(MID($B$2,6,2)),VALUE(RIGHT($B$2,2)))
+ (VALUE(REGEXEXTRACT(INDIRECT(""A""&amp;ROW()+1),""\d+""))-1)*7
+ INT((COLUMN()-COLUMN($B415))/3)
"),47733)</f>
        <v>47733</v>
      </c>
      <c r="U415" s="81"/>
      <c r="V415" s="82"/>
      <c r="W415" s="143"/>
    </row>
    <row r="416" spans="1:23" ht="15.75" customHeight="1">
      <c r="A416" s="51" t="s">
        <v>164</v>
      </c>
      <c r="B416" s="112"/>
      <c r="C416" s="111"/>
      <c r="D416" s="17">
        <f>V414+C416</f>
        <v>-1459</v>
      </c>
      <c r="E416" s="109"/>
      <c r="F416" s="109"/>
      <c r="G416" s="42">
        <f>D426+F416</f>
        <v>-1459</v>
      </c>
      <c r="H416" s="112"/>
      <c r="I416" s="111"/>
      <c r="J416" s="17">
        <f>G426+I416</f>
        <v>-1459</v>
      </c>
      <c r="K416" s="109"/>
      <c r="L416" s="109"/>
      <c r="M416" s="35">
        <f>J426+L416</f>
        <v>-1459</v>
      </c>
      <c r="N416" s="112"/>
      <c r="O416" s="111"/>
      <c r="P416" s="17">
        <f>M426+O416</f>
        <v>-1459</v>
      </c>
      <c r="Q416" s="109"/>
      <c r="R416" s="109"/>
      <c r="S416" s="35">
        <f>P426+R416</f>
        <v>-1459</v>
      </c>
      <c r="T416" s="112"/>
      <c r="U416" s="111"/>
      <c r="V416" s="48">
        <f>S426+U416</f>
        <v>-1459</v>
      </c>
      <c r="W416" s="143"/>
    </row>
    <row r="417" spans="1:23" ht="15.75" customHeight="1">
      <c r="A417" s="114"/>
      <c r="B417" s="106"/>
      <c r="C417" s="107"/>
      <c r="D417" s="26">
        <f t="shared" ref="D417:D426" si="245">D416+C417</f>
        <v>-1459</v>
      </c>
      <c r="E417" s="117"/>
      <c r="F417" s="117"/>
      <c r="G417" s="19">
        <f t="shared" ref="G417:G426" si="246">G416+F417</f>
        <v>-1459</v>
      </c>
      <c r="H417" s="106"/>
      <c r="I417" s="107"/>
      <c r="J417" s="26">
        <f t="shared" ref="J417:J426" si="247">J416+I417</f>
        <v>-1459</v>
      </c>
      <c r="K417" s="117"/>
      <c r="L417" s="117"/>
      <c r="M417" s="38">
        <f t="shared" ref="M417:M426" si="248">M416+L417</f>
        <v>-1459</v>
      </c>
      <c r="N417" s="106"/>
      <c r="O417" s="107"/>
      <c r="P417" s="26">
        <f t="shared" ref="P417:P426" si="249">P416+O417</f>
        <v>-1459</v>
      </c>
      <c r="Q417" s="117"/>
      <c r="R417" s="117"/>
      <c r="S417" s="38">
        <f t="shared" ref="S417:S426" si="250">S416+R417</f>
        <v>-1459</v>
      </c>
      <c r="T417" s="106"/>
      <c r="U417" s="107"/>
      <c r="V417" s="20">
        <f t="shared" ref="V417:V426" si="251">V416+U417</f>
        <v>-1459</v>
      </c>
      <c r="W417" s="143"/>
    </row>
    <row r="418" spans="1:23" ht="15.75" customHeight="1">
      <c r="A418" s="114"/>
      <c r="B418" s="106"/>
      <c r="C418" s="107"/>
      <c r="D418" s="26">
        <f t="shared" si="245"/>
        <v>-1459</v>
      </c>
      <c r="E418" s="117"/>
      <c r="F418" s="117"/>
      <c r="G418" s="19">
        <f t="shared" si="246"/>
        <v>-1459</v>
      </c>
      <c r="H418" s="106"/>
      <c r="I418" s="107"/>
      <c r="J418" s="26">
        <f t="shared" si="247"/>
        <v>-1459</v>
      </c>
      <c r="K418" s="117"/>
      <c r="L418" s="117"/>
      <c r="M418" s="38">
        <f t="shared" si="248"/>
        <v>-1459</v>
      </c>
      <c r="N418" s="106"/>
      <c r="O418" s="107"/>
      <c r="P418" s="26">
        <f t="shared" si="249"/>
        <v>-1459</v>
      </c>
      <c r="Q418" s="117"/>
      <c r="R418" s="117"/>
      <c r="S418" s="38">
        <f t="shared" si="250"/>
        <v>-1459</v>
      </c>
      <c r="T418" s="106"/>
      <c r="U418" s="116"/>
      <c r="V418" s="20">
        <f t="shared" si="251"/>
        <v>-1459</v>
      </c>
      <c r="W418" s="143"/>
    </row>
    <row r="419" spans="1:23" ht="15.75" customHeight="1">
      <c r="A419" s="114"/>
      <c r="B419" s="106"/>
      <c r="C419" s="107"/>
      <c r="D419" s="26">
        <f t="shared" si="245"/>
        <v>-1459</v>
      </c>
      <c r="E419" s="117"/>
      <c r="F419" s="117"/>
      <c r="G419" s="19">
        <f t="shared" si="246"/>
        <v>-1459</v>
      </c>
      <c r="H419" s="106"/>
      <c r="I419" s="107"/>
      <c r="J419" s="26">
        <f t="shared" si="247"/>
        <v>-1459</v>
      </c>
      <c r="K419" s="117"/>
      <c r="L419" s="117"/>
      <c r="M419" s="38">
        <f t="shared" si="248"/>
        <v>-1459</v>
      </c>
      <c r="N419" s="106"/>
      <c r="O419" s="107"/>
      <c r="P419" s="26">
        <f t="shared" si="249"/>
        <v>-1459</v>
      </c>
      <c r="Q419" s="117"/>
      <c r="R419" s="117"/>
      <c r="S419" s="38">
        <f t="shared" si="250"/>
        <v>-1459</v>
      </c>
      <c r="T419" s="106"/>
      <c r="U419" s="116"/>
      <c r="V419" s="20">
        <f t="shared" si="251"/>
        <v>-1459</v>
      </c>
      <c r="W419" s="143"/>
    </row>
    <row r="420" spans="1:23" ht="15.75" customHeight="1">
      <c r="A420" s="114"/>
      <c r="B420" s="106"/>
      <c r="C420" s="107"/>
      <c r="D420" s="26">
        <f t="shared" si="245"/>
        <v>-1459</v>
      </c>
      <c r="E420" s="117"/>
      <c r="F420" s="117"/>
      <c r="G420" s="19">
        <f t="shared" si="246"/>
        <v>-1459</v>
      </c>
      <c r="H420" s="106"/>
      <c r="I420" s="107"/>
      <c r="J420" s="26">
        <f t="shared" si="247"/>
        <v>-1459</v>
      </c>
      <c r="K420" s="117"/>
      <c r="L420" s="117"/>
      <c r="M420" s="38">
        <f t="shared" si="248"/>
        <v>-1459</v>
      </c>
      <c r="N420" s="106"/>
      <c r="O420" s="107"/>
      <c r="P420" s="26">
        <f t="shared" si="249"/>
        <v>-1459</v>
      </c>
      <c r="Q420" s="117"/>
      <c r="R420" s="117"/>
      <c r="S420" s="38">
        <f t="shared" si="250"/>
        <v>-1459</v>
      </c>
      <c r="T420" s="106"/>
      <c r="U420" s="116"/>
      <c r="V420" s="20">
        <f t="shared" si="251"/>
        <v>-1459</v>
      </c>
      <c r="W420" s="143"/>
    </row>
    <row r="421" spans="1:23" ht="15.75" customHeight="1">
      <c r="A421" s="114"/>
      <c r="B421" s="106"/>
      <c r="C421" s="107"/>
      <c r="D421" s="26">
        <f t="shared" si="245"/>
        <v>-1459</v>
      </c>
      <c r="E421" s="117"/>
      <c r="F421" s="117"/>
      <c r="G421" s="19">
        <f t="shared" si="246"/>
        <v>-1459</v>
      </c>
      <c r="H421" s="106"/>
      <c r="I421" s="107"/>
      <c r="J421" s="26">
        <f t="shared" si="247"/>
        <v>-1459</v>
      </c>
      <c r="K421" s="117"/>
      <c r="L421" s="117"/>
      <c r="M421" s="38">
        <f t="shared" si="248"/>
        <v>-1459</v>
      </c>
      <c r="N421" s="106"/>
      <c r="O421" s="107"/>
      <c r="P421" s="26">
        <f t="shared" si="249"/>
        <v>-1459</v>
      </c>
      <c r="Q421" s="117"/>
      <c r="R421" s="117"/>
      <c r="S421" s="38">
        <f t="shared" si="250"/>
        <v>-1459</v>
      </c>
      <c r="T421" s="106"/>
      <c r="U421" s="116"/>
      <c r="V421" s="20">
        <f t="shared" si="251"/>
        <v>-1459</v>
      </c>
      <c r="W421" s="143"/>
    </row>
    <row r="422" spans="1:23" ht="15.75" customHeight="1">
      <c r="A422" s="114"/>
      <c r="B422" s="106"/>
      <c r="C422" s="107"/>
      <c r="D422" s="26">
        <f t="shared" si="245"/>
        <v>-1459</v>
      </c>
      <c r="E422" s="117"/>
      <c r="F422" s="117"/>
      <c r="G422" s="19">
        <f t="shared" si="246"/>
        <v>-1459</v>
      </c>
      <c r="H422" s="106"/>
      <c r="I422" s="107"/>
      <c r="J422" s="26">
        <f t="shared" si="247"/>
        <v>-1459</v>
      </c>
      <c r="K422" s="117"/>
      <c r="L422" s="117"/>
      <c r="M422" s="38">
        <f t="shared" si="248"/>
        <v>-1459</v>
      </c>
      <c r="N422" s="106"/>
      <c r="O422" s="107"/>
      <c r="P422" s="26">
        <f t="shared" si="249"/>
        <v>-1459</v>
      </c>
      <c r="Q422" s="117"/>
      <c r="R422" s="117"/>
      <c r="S422" s="38">
        <f t="shared" si="250"/>
        <v>-1459</v>
      </c>
      <c r="T422" s="106"/>
      <c r="U422" s="116"/>
      <c r="V422" s="20">
        <f t="shared" si="251"/>
        <v>-1459</v>
      </c>
      <c r="W422" s="143"/>
    </row>
    <row r="423" spans="1:23" ht="15.75" customHeight="1">
      <c r="A423" s="114"/>
      <c r="B423" s="106"/>
      <c r="C423" s="107"/>
      <c r="D423" s="26">
        <f t="shared" si="245"/>
        <v>-1459</v>
      </c>
      <c r="E423" s="117"/>
      <c r="F423" s="117"/>
      <c r="G423" s="19">
        <f t="shared" si="246"/>
        <v>-1459</v>
      </c>
      <c r="H423" s="106"/>
      <c r="I423" s="107"/>
      <c r="J423" s="26">
        <f t="shared" si="247"/>
        <v>-1459</v>
      </c>
      <c r="K423" s="117"/>
      <c r="L423" s="117"/>
      <c r="M423" s="38">
        <f t="shared" si="248"/>
        <v>-1459</v>
      </c>
      <c r="N423" s="106"/>
      <c r="O423" s="107"/>
      <c r="P423" s="26">
        <f t="shared" si="249"/>
        <v>-1459</v>
      </c>
      <c r="Q423" s="117"/>
      <c r="R423" s="117"/>
      <c r="S423" s="38">
        <f t="shared" si="250"/>
        <v>-1459</v>
      </c>
      <c r="T423" s="106"/>
      <c r="U423" s="116"/>
      <c r="V423" s="20">
        <f t="shared" si="251"/>
        <v>-1459</v>
      </c>
      <c r="W423" s="143"/>
    </row>
    <row r="424" spans="1:23" ht="15.75" customHeight="1">
      <c r="A424" s="114"/>
      <c r="B424" s="122"/>
      <c r="C424" s="123"/>
      <c r="D424" s="26">
        <f t="shared" si="245"/>
        <v>-1459</v>
      </c>
      <c r="E424" s="117"/>
      <c r="F424" s="117"/>
      <c r="G424" s="19">
        <f t="shared" si="246"/>
        <v>-1459</v>
      </c>
      <c r="H424" s="122"/>
      <c r="I424" s="123"/>
      <c r="J424" s="26">
        <f t="shared" si="247"/>
        <v>-1459</v>
      </c>
      <c r="K424" s="117"/>
      <c r="L424" s="117"/>
      <c r="M424" s="38">
        <f t="shared" si="248"/>
        <v>-1459</v>
      </c>
      <c r="N424" s="122"/>
      <c r="O424" s="123"/>
      <c r="P424" s="26">
        <f t="shared" si="249"/>
        <v>-1459</v>
      </c>
      <c r="Q424" s="117"/>
      <c r="R424" s="117"/>
      <c r="S424" s="38">
        <f t="shared" si="250"/>
        <v>-1459</v>
      </c>
      <c r="T424" s="106"/>
      <c r="U424" s="116"/>
      <c r="V424" s="20">
        <f t="shared" si="251"/>
        <v>-1459</v>
      </c>
      <c r="W424" s="143"/>
    </row>
    <row r="425" spans="1:23" ht="15.75" customHeight="1">
      <c r="A425" s="114"/>
      <c r="B425" s="122"/>
      <c r="C425" s="123"/>
      <c r="D425" s="26">
        <f t="shared" si="245"/>
        <v>-1459</v>
      </c>
      <c r="E425" s="117"/>
      <c r="F425" s="117"/>
      <c r="G425" s="19">
        <f t="shared" si="246"/>
        <v>-1459</v>
      </c>
      <c r="H425" s="122"/>
      <c r="I425" s="123"/>
      <c r="J425" s="26">
        <f t="shared" si="247"/>
        <v>-1459</v>
      </c>
      <c r="K425" s="117"/>
      <c r="L425" s="117"/>
      <c r="M425" s="38">
        <f t="shared" si="248"/>
        <v>-1459</v>
      </c>
      <c r="N425" s="122"/>
      <c r="O425" s="123"/>
      <c r="P425" s="26">
        <f t="shared" si="249"/>
        <v>-1459</v>
      </c>
      <c r="Q425" s="117"/>
      <c r="R425" s="117"/>
      <c r="S425" s="38">
        <f t="shared" si="250"/>
        <v>-1459</v>
      </c>
      <c r="T425" s="122"/>
      <c r="U425" s="124"/>
      <c r="V425" s="20">
        <f t="shared" si="251"/>
        <v>-1459</v>
      </c>
      <c r="W425" s="143"/>
    </row>
    <row r="426" spans="1:23" ht="15.75" customHeight="1">
      <c r="A426" s="114"/>
      <c r="B426" s="122"/>
      <c r="C426" s="123"/>
      <c r="D426" s="39">
        <f t="shared" si="245"/>
        <v>-1459</v>
      </c>
      <c r="E426" s="128"/>
      <c r="F426" s="128"/>
      <c r="G426" s="29">
        <f t="shared" si="246"/>
        <v>-1459</v>
      </c>
      <c r="H426" s="122"/>
      <c r="I426" s="123"/>
      <c r="J426" s="39">
        <f t="shared" si="247"/>
        <v>-1459</v>
      </c>
      <c r="K426" s="128"/>
      <c r="L426" s="128"/>
      <c r="M426" s="40">
        <f t="shared" si="248"/>
        <v>-1459</v>
      </c>
      <c r="N426" s="122"/>
      <c r="O426" s="123"/>
      <c r="P426" s="39">
        <f t="shared" si="249"/>
        <v>-1459</v>
      </c>
      <c r="Q426" s="128"/>
      <c r="R426" s="128"/>
      <c r="S426" s="40">
        <f t="shared" si="250"/>
        <v>-1459</v>
      </c>
      <c r="T426" s="122"/>
      <c r="U426" s="123"/>
      <c r="V426" s="49">
        <f t="shared" si="251"/>
        <v>-1459</v>
      </c>
      <c r="W426" s="143"/>
    </row>
    <row r="427" spans="1:23" ht="15.75" customHeight="1">
      <c r="A427" s="87"/>
      <c r="B427" s="77">
        <f ca="1">IFERROR(__xludf.DUMMYFUNCTION("DATE(VALUE(LEFT($B$2,4)),VALUE(MID($B$2,6,2)),VALUE(RIGHT($B$2,2)))
+ (VALUE(REGEXEXTRACT(INDIRECT(""A""&amp;ROW()+1),""\d+""))-1)*7
+ INT((COLUMN()-COLUMN($B427))/3)
"),47734)</f>
        <v>47734</v>
      </c>
      <c r="C427" s="81"/>
      <c r="D427" s="82"/>
      <c r="E427" s="77">
        <f ca="1">IFERROR(__xludf.DUMMYFUNCTION("DATE(VALUE(LEFT($B$2,4)),VALUE(MID($B$2,6,2)),VALUE(RIGHT($B$2,2)))
+ (VALUE(REGEXEXTRACT(INDIRECT(""A""&amp;ROW()+1),""\d+""))-1)*7
+ INT((COLUMN()-COLUMN($B427))/3)
"),47735)</f>
        <v>47735</v>
      </c>
      <c r="F427" s="81"/>
      <c r="G427" s="82"/>
      <c r="H427" s="77">
        <f ca="1">IFERROR(__xludf.DUMMYFUNCTION("DATE(VALUE(LEFT($B$2,4)),VALUE(MID($B$2,6,2)),VALUE(RIGHT($B$2,2)))
+ (VALUE(REGEXEXTRACT(INDIRECT(""A""&amp;ROW()+1),""\d+""))-1)*7
+ INT((COLUMN()-COLUMN($B427))/3)
"),47736)</f>
        <v>47736</v>
      </c>
      <c r="I427" s="81"/>
      <c r="J427" s="82"/>
      <c r="K427" s="77">
        <f ca="1">IFERROR(__xludf.DUMMYFUNCTION("DATE(VALUE(LEFT($B$2,4)),VALUE(MID($B$2,6,2)),VALUE(RIGHT($B$2,2)))
+ (VALUE(REGEXEXTRACT(INDIRECT(""A""&amp;ROW()+1),""\d+""))-1)*7
+ INT((COLUMN()-COLUMN($B427))/3)
"),47737)</f>
        <v>47737</v>
      </c>
      <c r="L427" s="81"/>
      <c r="M427" s="82"/>
      <c r="N427" s="77">
        <f ca="1">IFERROR(__xludf.DUMMYFUNCTION("DATE(VALUE(LEFT($B$2,4)),VALUE(MID($B$2,6,2)),VALUE(RIGHT($B$2,2)))
+ (VALUE(REGEXEXTRACT(INDIRECT(""A""&amp;ROW()+1),""\d+""))-1)*7
+ INT((COLUMN()-COLUMN($B427))/3)
"),47738)</f>
        <v>47738</v>
      </c>
      <c r="O427" s="81"/>
      <c r="P427" s="82"/>
      <c r="Q427" s="77">
        <f ca="1">IFERROR(__xludf.DUMMYFUNCTION("DATE(VALUE(LEFT($B$2,4)),VALUE(MID($B$2,6,2)),VALUE(RIGHT($B$2,2)))
+ (VALUE(REGEXEXTRACT(INDIRECT(""A""&amp;ROW()+1),""\d+""))-1)*7
+ INT((COLUMN()-COLUMN($B427))/3)
"),47739)</f>
        <v>47739</v>
      </c>
      <c r="R427" s="81"/>
      <c r="S427" s="82"/>
      <c r="T427" s="77">
        <f ca="1">IFERROR(__xludf.DUMMYFUNCTION("DATE(VALUE(LEFT($B$2,4)),VALUE(MID($B$2,6,2)),VALUE(RIGHT($B$2,2)))
+ (VALUE(REGEXEXTRACT(INDIRECT(""A""&amp;ROW()+1),""\d+""))-1)*7
+ INT((COLUMN()-COLUMN($B427))/3)
"),47740)</f>
        <v>47740</v>
      </c>
      <c r="U427" s="81"/>
      <c r="V427" s="82"/>
      <c r="W427" s="52" t="s">
        <v>20</v>
      </c>
    </row>
    <row r="428" spans="1:23" ht="15.75" customHeight="1">
      <c r="A428" s="47" t="s">
        <v>165</v>
      </c>
      <c r="B428" s="113"/>
      <c r="C428" s="109"/>
      <c r="D428" s="42">
        <f>V426+C428</f>
        <v>-1459</v>
      </c>
      <c r="E428" s="112"/>
      <c r="F428" s="111"/>
      <c r="G428" s="36">
        <f>D438+F428</f>
        <v>-1459</v>
      </c>
      <c r="H428" s="132"/>
      <c r="I428" s="109"/>
      <c r="J428" s="42">
        <f>G438+I428</f>
        <v>-1459</v>
      </c>
      <c r="K428" s="112"/>
      <c r="L428" s="111"/>
      <c r="M428" s="18">
        <f>J438+L428</f>
        <v>-1459</v>
      </c>
      <c r="N428" s="113"/>
      <c r="O428" s="109"/>
      <c r="P428" s="35">
        <f>M438+O428</f>
        <v>-1459</v>
      </c>
      <c r="Q428" s="112"/>
      <c r="R428" s="111"/>
      <c r="S428" s="18">
        <f>P438+R428</f>
        <v>-1459</v>
      </c>
      <c r="T428" s="173"/>
      <c r="U428" s="173"/>
      <c r="V428" s="50">
        <f>S438+U428</f>
        <v>-1459</v>
      </c>
      <c r="W428" s="172"/>
    </row>
    <row r="429" spans="1:23" ht="15.75" customHeight="1">
      <c r="A429" s="114"/>
      <c r="B429" s="118"/>
      <c r="C429" s="117"/>
      <c r="D429" s="19">
        <f t="shared" ref="D429:D438" si="252">D428+C429</f>
        <v>-1459</v>
      </c>
      <c r="E429" s="106"/>
      <c r="F429" s="107"/>
      <c r="G429" s="26">
        <f t="shared" ref="G429:G438" si="253">G428+F429</f>
        <v>-1459</v>
      </c>
      <c r="H429" s="133"/>
      <c r="I429" s="117"/>
      <c r="J429" s="19">
        <f t="shared" ref="J429:J438" si="254">J428+I429</f>
        <v>-1459</v>
      </c>
      <c r="K429" s="106"/>
      <c r="L429" s="107"/>
      <c r="M429" s="26">
        <f t="shared" ref="M429:M438" si="255">M428+L429</f>
        <v>-1459</v>
      </c>
      <c r="N429" s="118"/>
      <c r="O429" s="117"/>
      <c r="P429" s="38">
        <f t="shared" ref="P429:P438" si="256">P428+O429</f>
        <v>-1459</v>
      </c>
      <c r="Q429" s="106"/>
      <c r="R429" s="107"/>
      <c r="S429" s="26">
        <f t="shared" ref="S429:S438" si="257">S428+R429</f>
        <v>-1459</v>
      </c>
      <c r="T429" s="136"/>
      <c r="U429" s="136"/>
      <c r="V429" s="45">
        <f t="shared" ref="V429:V438" si="258">V428+U429</f>
        <v>-1459</v>
      </c>
      <c r="W429" s="143"/>
    </row>
    <row r="430" spans="1:23" ht="15.75" customHeight="1">
      <c r="A430" s="114"/>
      <c r="B430" s="118"/>
      <c r="C430" s="117"/>
      <c r="D430" s="19">
        <f t="shared" si="252"/>
        <v>-1459</v>
      </c>
      <c r="E430" s="106"/>
      <c r="F430" s="107"/>
      <c r="G430" s="26">
        <f t="shared" si="253"/>
        <v>-1459</v>
      </c>
      <c r="H430" s="133"/>
      <c r="I430" s="117"/>
      <c r="J430" s="19">
        <f t="shared" si="254"/>
        <v>-1459</v>
      </c>
      <c r="K430" s="106"/>
      <c r="L430" s="107"/>
      <c r="M430" s="26">
        <f t="shared" si="255"/>
        <v>-1459</v>
      </c>
      <c r="N430" s="117"/>
      <c r="O430" s="117"/>
      <c r="P430" s="38">
        <f t="shared" si="256"/>
        <v>-1459</v>
      </c>
      <c r="Q430" s="106"/>
      <c r="R430" s="107"/>
      <c r="S430" s="26">
        <f t="shared" si="257"/>
        <v>-1459</v>
      </c>
      <c r="T430" s="117"/>
      <c r="U430" s="117"/>
      <c r="V430" s="45">
        <f t="shared" si="258"/>
        <v>-1459</v>
      </c>
      <c r="W430" s="143"/>
    </row>
    <row r="431" spans="1:23" ht="15.75" customHeight="1">
      <c r="A431" s="114"/>
      <c r="B431" s="118"/>
      <c r="C431" s="117"/>
      <c r="D431" s="19">
        <f t="shared" si="252"/>
        <v>-1459</v>
      </c>
      <c r="E431" s="106"/>
      <c r="F431" s="107"/>
      <c r="G431" s="26">
        <f t="shared" si="253"/>
        <v>-1459</v>
      </c>
      <c r="H431" s="133"/>
      <c r="I431" s="117"/>
      <c r="J431" s="19">
        <f t="shared" si="254"/>
        <v>-1459</v>
      </c>
      <c r="K431" s="106"/>
      <c r="L431" s="107"/>
      <c r="M431" s="26">
        <f t="shared" si="255"/>
        <v>-1459</v>
      </c>
      <c r="N431" s="117"/>
      <c r="O431" s="117"/>
      <c r="P431" s="19">
        <f t="shared" si="256"/>
        <v>-1459</v>
      </c>
      <c r="Q431" s="106"/>
      <c r="R431" s="107"/>
      <c r="S431" s="26">
        <f t="shared" si="257"/>
        <v>-1459</v>
      </c>
      <c r="T431" s="136"/>
      <c r="U431" s="136"/>
      <c r="V431" s="45">
        <f t="shared" si="258"/>
        <v>-1459</v>
      </c>
      <c r="W431" s="143"/>
    </row>
    <row r="432" spans="1:23" ht="15.75" customHeight="1">
      <c r="A432" s="114"/>
      <c r="B432" s="118"/>
      <c r="C432" s="117"/>
      <c r="D432" s="19">
        <f t="shared" si="252"/>
        <v>-1459</v>
      </c>
      <c r="E432" s="106"/>
      <c r="F432" s="107"/>
      <c r="G432" s="26">
        <f t="shared" si="253"/>
        <v>-1459</v>
      </c>
      <c r="H432" s="133"/>
      <c r="I432" s="117"/>
      <c r="J432" s="19">
        <f t="shared" si="254"/>
        <v>-1459</v>
      </c>
      <c r="K432" s="106"/>
      <c r="L432" s="107"/>
      <c r="M432" s="26">
        <f t="shared" si="255"/>
        <v>-1459</v>
      </c>
      <c r="N432" s="117"/>
      <c r="O432" s="117"/>
      <c r="P432" s="19">
        <f t="shared" si="256"/>
        <v>-1459</v>
      </c>
      <c r="Q432" s="106"/>
      <c r="R432" s="107"/>
      <c r="S432" s="26">
        <f t="shared" si="257"/>
        <v>-1459</v>
      </c>
      <c r="T432" s="136"/>
      <c r="U432" s="136"/>
      <c r="V432" s="45">
        <f t="shared" si="258"/>
        <v>-1459</v>
      </c>
      <c r="W432" s="143"/>
    </row>
    <row r="433" spans="1:23" ht="15.75" customHeight="1">
      <c r="A433" s="114"/>
      <c r="B433" s="118"/>
      <c r="C433" s="117"/>
      <c r="D433" s="19">
        <f t="shared" si="252"/>
        <v>-1459</v>
      </c>
      <c r="E433" s="106"/>
      <c r="F433" s="107"/>
      <c r="G433" s="26">
        <f t="shared" si="253"/>
        <v>-1459</v>
      </c>
      <c r="H433" s="133"/>
      <c r="I433" s="117"/>
      <c r="J433" s="19">
        <f t="shared" si="254"/>
        <v>-1459</v>
      </c>
      <c r="K433" s="106"/>
      <c r="L433" s="107"/>
      <c r="M433" s="26">
        <f t="shared" si="255"/>
        <v>-1459</v>
      </c>
      <c r="N433" s="117"/>
      <c r="O433" s="117"/>
      <c r="P433" s="19">
        <f t="shared" si="256"/>
        <v>-1459</v>
      </c>
      <c r="Q433" s="106"/>
      <c r="R433" s="107"/>
      <c r="S433" s="26">
        <f t="shared" si="257"/>
        <v>-1459</v>
      </c>
      <c r="T433" s="136"/>
      <c r="U433" s="136"/>
      <c r="V433" s="45">
        <f t="shared" si="258"/>
        <v>-1459</v>
      </c>
      <c r="W433" s="143"/>
    </row>
    <row r="434" spans="1:23" ht="15.75" customHeight="1">
      <c r="A434" s="114"/>
      <c r="B434" s="117"/>
      <c r="C434" s="117"/>
      <c r="D434" s="19">
        <f t="shared" si="252"/>
        <v>-1459</v>
      </c>
      <c r="E434" s="106"/>
      <c r="F434" s="107"/>
      <c r="G434" s="26">
        <f t="shared" si="253"/>
        <v>-1459</v>
      </c>
      <c r="H434" s="133"/>
      <c r="I434" s="117"/>
      <c r="J434" s="19">
        <f t="shared" si="254"/>
        <v>-1459</v>
      </c>
      <c r="K434" s="106"/>
      <c r="L434" s="107"/>
      <c r="M434" s="26">
        <f t="shared" si="255"/>
        <v>-1459</v>
      </c>
      <c r="N434" s="117"/>
      <c r="O434" s="117"/>
      <c r="P434" s="19">
        <f t="shared" si="256"/>
        <v>-1459</v>
      </c>
      <c r="Q434" s="106"/>
      <c r="R434" s="107"/>
      <c r="S434" s="26">
        <f t="shared" si="257"/>
        <v>-1459</v>
      </c>
      <c r="T434" s="136"/>
      <c r="U434" s="136"/>
      <c r="V434" s="45">
        <f t="shared" si="258"/>
        <v>-1459</v>
      </c>
      <c r="W434" s="143"/>
    </row>
    <row r="435" spans="1:23" ht="15.75" customHeight="1">
      <c r="A435" s="114"/>
      <c r="B435" s="117"/>
      <c r="C435" s="117"/>
      <c r="D435" s="19">
        <f t="shared" si="252"/>
        <v>-1459</v>
      </c>
      <c r="E435" s="106"/>
      <c r="F435" s="107"/>
      <c r="G435" s="26">
        <f t="shared" si="253"/>
        <v>-1459</v>
      </c>
      <c r="H435" s="133"/>
      <c r="I435" s="117"/>
      <c r="J435" s="19">
        <f t="shared" si="254"/>
        <v>-1459</v>
      </c>
      <c r="K435" s="106"/>
      <c r="L435" s="107"/>
      <c r="M435" s="26">
        <f t="shared" si="255"/>
        <v>-1459</v>
      </c>
      <c r="N435" s="117"/>
      <c r="O435" s="117"/>
      <c r="P435" s="19">
        <f t="shared" si="256"/>
        <v>-1459</v>
      </c>
      <c r="Q435" s="106"/>
      <c r="R435" s="107"/>
      <c r="S435" s="26">
        <f t="shared" si="257"/>
        <v>-1459</v>
      </c>
      <c r="T435" s="136"/>
      <c r="U435" s="136"/>
      <c r="V435" s="45">
        <f t="shared" si="258"/>
        <v>-1459</v>
      </c>
      <c r="W435" s="143"/>
    </row>
    <row r="436" spans="1:23" ht="15.75" customHeight="1">
      <c r="A436" s="114"/>
      <c r="B436" s="117"/>
      <c r="C436" s="117"/>
      <c r="D436" s="19">
        <f t="shared" si="252"/>
        <v>-1459</v>
      </c>
      <c r="E436" s="106"/>
      <c r="F436" s="107"/>
      <c r="G436" s="26">
        <f t="shared" si="253"/>
        <v>-1459</v>
      </c>
      <c r="H436" s="133"/>
      <c r="I436" s="117"/>
      <c r="J436" s="19">
        <f t="shared" si="254"/>
        <v>-1459</v>
      </c>
      <c r="K436" s="106"/>
      <c r="L436" s="107"/>
      <c r="M436" s="26">
        <f t="shared" si="255"/>
        <v>-1459</v>
      </c>
      <c r="N436" s="117"/>
      <c r="O436" s="117"/>
      <c r="P436" s="19">
        <f t="shared" si="256"/>
        <v>-1459</v>
      </c>
      <c r="Q436" s="106"/>
      <c r="R436" s="107"/>
      <c r="S436" s="26">
        <f t="shared" si="257"/>
        <v>-1459</v>
      </c>
      <c r="T436" s="136"/>
      <c r="U436" s="136"/>
      <c r="V436" s="45">
        <f t="shared" si="258"/>
        <v>-1459</v>
      </c>
      <c r="W436" s="143"/>
    </row>
    <row r="437" spans="1:23" ht="15.75" customHeight="1">
      <c r="A437" s="114"/>
      <c r="B437" s="117"/>
      <c r="C437" s="117"/>
      <c r="D437" s="19">
        <f t="shared" si="252"/>
        <v>-1459</v>
      </c>
      <c r="E437" s="122"/>
      <c r="F437" s="123"/>
      <c r="G437" s="26">
        <f t="shared" si="253"/>
        <v>-1459</v>
      </c>
      <c r="H437" s="133"/>
      <c r="I437" s="117"/>
      <c r="J437" s="19">
        <f t="shared" si="254"/>
        <v>-1459</v>
      </c>
      <c r="K437" s="122"/>
      <c r="L437" s="123"/>
      <c r="M437" s="26">
        <f t="shared" si="255"/>
        <v>-1459</v>
      </c>
      <c r="N437" s="117"/>
      <c r="O437" s="117"/>
      <c r="P437" s="19">
        <f t="shared" si="256"/>
        <v>-1459</v>
      </c>
      <c r="Q437" s="106"/>
      <c r="R437" s="107"/>
      <c r="S437" s="26">
        <f t="shared" si="257"/>
        <v>-1459</v>
      </c>
      <c r="T437" s="136"/>
      <c r="U437" s="136"/>
      <c r="V437" s="45">
        <f t="shared" si="258"/>
        <v>-1459</v>
      </c>
      <c r="W437" s="143"/>
    </row>
    <row r="438" spans="1:23" ht="15.75" customHeight="1">
      <c r="A438" s="114"/>
      <c r="B438" s="128"/>
      <c r="C438" s="128"/>
      <c r="D438" s="29">
        <f t="shared" si="252"/>
        <v>-1459</v>
      </c>
      <c r="E438" s="122"/>
      <c r="F438" s="123"/>
      <c r="G438" s="53">
        <f t="shared" si="253"/>
        <v>-1459</v>
      </c>
      <c r="H438" s="140"/>
      <c r="I438" s="128"/>
      <c r="J438" s="29">
        <f t="shared" si="254"/>
        <v>-1459</v>
      </c>
      <c r="K438" s="122"/>
      <c r="L438" s="123"/>
      <c r="M438" s="39">
        <f t="shared" si="255"/>
        <v>-1459</v>
      </c>
      <c r="N438" s="128"/>
      <c r="O438" s="128"/>
      <c r="P438" s="55">
        <f t="shared" si="256"/>
        <v>-1459</v>
      </c>
      <c r="Q438" s="124"/>
      <c r="R438" s="123"/>
      <c r="S438" s="39">
        <f t="shared" si="257"/>
        <v>-1459</v>
      </c>
      <c r="T438" s="141"/>
      <c r="U438" s="141"/>
      <c r="V438" s="46">
        <f t="shared" si="258"/>
        <v>-1459</v>
      </c>
      <c r="W438" s="143"/>
    </row>
    <row r="439" spans="1:23" ht="15.75" customHeight="1">
      <c r="A439" s="87"/>
      <c r="B439" s="77">
        <f ca="1">IFERROR(__xludf.DUMMYFUNCTION("DATE(VALUE(LEFT($B$2,4)),VALUE(MID($B$2,6,2)),VALUE(RIGHT($B$2,2)))
+ (VALUE(REGEXEXTRACT(INDIRECT(""A""&amp;ROW()+1),""\d+""))-1)*7
+ INT((COLUMN()-COLUMN($B439))/3)
"),47741)</f>
        <v>47741</v>
      </c>
      <c r="C439" s="81"/>
      <c r="D439" s="82"/>
      <c r="E439" s="77">
        <f ca="1">IFERROR(__xludf.DUMMYFUNCTION("DATE(VALUE(LEFT($B$2,4)),VALUE(MID($B$2,6,2)),VALUE(RIGHT($B$2,2)))
+ (VALUE(REGEXEXTRACT(INDIRECT(""A""&amp;ROW()+1),""\d+""))-1)*7
+ INT((COLUMN()-COLUMN($B439))/3)
"),47742)</f>
        <v>47742</v>
      </c>
      <c r="F439" s="81"/>
      <c r="G439" s="82"/>
      <c r="H439" s="77">
        <f ca="1">IFERROR(__xludf.DUMMYFUNCTION("DATE(VALUE(LEFT($B$2,4)),VALUE(MID($B$2,6,2)),VALUE(RIGHT($B$2,2)))
+ (VALUE(REGEXEXTRACT(INDIRECT(""A""&amp;ROW()+1),""\d+""))-1)*7
+ INT((COLUMN()-COLUMN($B439))/3)
"),47743)</f>
        <v>47743</v>
      </c>
      <c r="I439" s="81"/>
      <c r="J439" s="82"/>
      <c r="K439" s="77">
        <f ca="1">IFERROR(__xludf.DUMMYFUNCTION("DATE(VALUE(LEFT($B$2,4)),VALUE(MID($B$2,6,2)),VALUE(RIGHT($B$2,2)))
+ (VALUE(REGEXEXTRACT(INDIRECT(""A""&amp;ROW()+1),""\d+""))-1)*7
+ INT((COLUMN()-COLUMN($B439))/3)
"),47744)</f>
        <v>47744</v>
      </c>
      <c r="L439" s="81"/>
      <c r="M439" s="82"/>
      <c r="N439" s="77">
        <f ca="1">IFERROR(__xludf.DUMMYFUNCTION("DATE(VALUE(LEFT($B$2,4)),VALUE(MID($B$2,6,2)),VALUE(RIGHT($B$2,2)))
+ (VALUE(REGEXEXTRACT(INDIRECT(""A""&amp;ROW()+1),""\d+""))-1)*7
+ INT((COLUMN()-COLUMN($B439))/3)
"),47745)</f>
        <v>47745</v>
      </c>
      <c r="O439" s="81"/>
      <c r="P439" s="82"/>
      <c r="Q439" s="77">
        <f ca="1">IFERROR(__xludf.DUMMYFUNCTION("DATE(VALUE(LEFT($B$2,4)),VALUE(MID($B$2,6,2)),VALUE(RIGHT($B$2,2)))
+ (VALUE(REGEXEXTRACT(INDIRECT(""A""&amp;ROW()+1),""\d+""))-1)*7
+ INT((COLUMN()-COLUMN($B439))/3)
"),47746)</f>
        <v>47746</v>
      </c>
      <c r="R439" s="81"/>
      <c r="S439" s="82"/>
      <c r="T439" s="77">
        <f ca="1">IFERROR(__xludf.DUMMYFUNCTION("DATE(VALUE(LEFT($B$2,4)),VALUE(MID($B$2,6,2)),VALUE(RIGHT($B$2,2)))
+ (VALUE(REGEXEXTRACT(INDIRECT(""A""&amp;ROW()+1),""\d+""))-1)*7
+ INT((COLUMN()-COLUMN($B439))/3)
"),47747)</f>
        <v>47747</v>
      </c>
      <c r="U439" s="81"/>
      <c r="V439" s="82"/>
      <c r="W439" s="143"/>
    </row>
    <row r="440" spans="1:23" ht="15.75" customHeight="1">
      <c r="A440" s="51" t="s">
        <v>166</v>
      </c>
      <c r="B440" s="112"/>
      <c r="C440" s="111"/>
      <c r="D440" s="17">
        <f>V438+C440</f>
        <v>-1459</v>
      </c>
      <c r="E440" s="109"/>
      <c r="F440" s="109"/>
      <c r="G440" s="54">
        <f>D450+F440</f>
        <v>-1459</v>
      </c>
      <c r="H440" s="110"/>
      <c r="I440" s="111"/>
      <c r="J440" s="17">
        <f>G450+I440</f>
        <v>-1459</v>
      </c>
      <c r="K440" s="109"/>
      <c r="L440" s="109"/>
      <c r="M440" s="35">
        <f>J450+L440</f>
        <v>-1459</v>
      </c>
      <c r="N440" s="112"/>
      <c r="O440" s="111"/>
      <c r="P440" s="17">
        <f>M450+O440</f>
        <v>-1459</v>
      </c>
      <c r="Q440" s="109"/>
      <c r="R440" s="109"/>
      <c r="S440" s="35">
        <f>P450+R440</f>
        <v>-1459</v>
      </c>
      <c r="T440" s="112"/>
      <c r="U440" s="111"/>
      <c r="V440" s="48">
        <f>S450+U440</f>
        <v>-1459</v>
      </c>
      <c r="W440" s="143"/>
    </row>
    <row r="441" spans="1:23" ht="15.75" customHeight="1">
      <c r="A441" s="114"/>
      <c r="B441" s="106"/>
      <c r="C441" s="107"/>
      <c r="D441" s="26">
        <f t="shared" ref="D441:D450" si="259">D440+C441</f>
        <v>-1459</v>
      </c>
      <c r="E441" s="117"/>
      <c r="F441" s="117"/>
      <c r="G441" s="19">
        <f t="shared" ref="G441:G450" si="260">G440+F441</f>
        <v>-1459</v>
      </c>
      <c r="H441" s="116"/>
      <c r="I441" s="107"/>
      <c r="J441" s="26">
        <f t="shared" ref="J441:J450" si="261">J440+I441</f>
        <v>-1459</v>
      </c>
      <c r="K441" s="117"/>
      <c r="L441" s="117"/>
      <c r="M441" s="38">
        <f t="shared" ref="M441:M450" si="262">M440+L441</f>
        <v>-1459</v>
      </c>
      <c r="N441" s="106"/>
      <c r="O441" s="107"/>
      <c r="P441" s="26">
        <f t="shared" ref="P441:P450" si="263">P440+O441</f>
        <v>-1459</v>
      </c>
      <c r="Q441" s="117"/>
      <c r="R441" s="117"/>
      <c r="S441" s="38">
        <f t="shared" ref="S441:S450" si="264">S440+R441</f>
        <v>-1459</v>
      </c>
      <c r="T441" s="106"/>
      <c r="U441" s="107"/>
      <c r="V441" s="20">
        <f t="shared" ref="V441:V450" si="265">V440+U441</f>
        <v>-1459</v>
      </c>
      <c r="W441" s="143"/>
    </row>
    <row r="442" spans="1:23" ht="15.75" customHeight="1">
      <c r="A442" s="114"/>
      <c r="B442" s="106"/>
      <c r="C442" s="107"/>
      <c r="D442" s="26">
        <f t="shared" si="259"/>
        <v>-1459</v>
      </c>
      <c r="E442" s="117"/>
      <c r="F442" s="117"/>
      <c r="G442" s="19">
        <f t="shared" si="260"/>
        <v>-1459</v>
      </c>
      <c r="H442" s="116"/>
      <c r="I442" s="107"/>
      <c r="J442" s="26">
        <f t="shared" si="261"/>
        <v>-1459</v>
      </c>
      <c r="K442" s="117"/>
      <c r="L442" s="117"/>
      <c r="M442" s="38">
        <f t="shared" si="262"/>
        <v>-1459</v>
      </c>
      <c r="N442" s="106"/>
      <c r="O442" s="107"/>
      <c r="P442" s="26">
        <f t="shared" si="263"/>
        <v>-1459</v>
      </c>
      <c r="Q442" s="117"/>
      <c r="R442" s="117"/>
      <c r="S442" s="38">
        <f t="shared" si="264"/>
        <v>-1459</v>
      </c>
      <c r="T442" s="106"/>
      <c r="U442" s="116"/>
      <c r="V442" s="20">
        <f t="shared" si="265"/>
        <v>-1459</v>
      </c>
      <c r="W442" s="143"/>
    </row>
    <row r="443" spans="1:23" ht="15.75" customHeight="1">
      <c r="A443" s="114"/>
      <c r="B443" s="106"/>
      <c r="C443" s="107"/>
      <c r="D443" s="26">
        <f t="shared" si="259"/>
        <v>-1459</v>
      </c>
      <c r="E443" s="117"/>
      <c r="F443" s="117"/>
      <c r="G443" s="19">
        <f t="shared" si="260"/>
        <v>-1459</v>
      </c>
      <c r="H443" s="116"/>
      <c r="I443" s="107"/>
      <c r="J443" s="26">
        <f t="shared" si="261"/>
        <v>-1459</v>
      </c>
      <c r="K443" s="117"/>
      <c r="L443" s="117"/>
      <c r="M443" s="38">
        <f t="shared" si="262"/>
        <v>-1459</v>
      </c>
      <c r="N443" s="106"/>
      <c r="O443" s="107"/>
      <c r="P443" s="26">
        <f t="shared" si="263"/>
        <v>-1459</v>
      </c>
      <c r="Q443" s="117"/>
      <c r="R443" s="117"/>
      <c r="S443" s="38">
        <f t="shared" si="264"/>
        <v>-1459</v>
      </c>
      <c r="T443" s="106"/>
      <c r="U443" s="116"/>
      <c r="V443" s="20">
        <f t="shared" si="265"/>
        <v>-1459</v>
      </c>
      <c r="W443" s="143"/>
    </row>
    <row r="444" spans="1:23" ht="15.75" customHeight="1">
      <c r="A444" s="114"/>
      <c r="B444" s="106"/>
      <c r="C444" s="107"/>
      <c r="D444" s="26">
        <f t="shared" si="259"/>
        <v>-1459</v>
      </c>
      <c r="E444" s="117"/>
      <c r="F444" s="117"/>
      <c r="G444" s="19">
        <f t="shared" si="260"/>
        <v>-1459</v>
      </c>
      <c r="H444" s="116"/>
      <c r="I444" s="107"/>
      <c r="J444" s="26">
        <f t="shared" si="261"/>
        <v>-1459</v>
      </c>
      <c r="K444" s="117"/>
      <c r="L444" s="117"/>
      <c r="M444" s="38">
        <f t="shared" si="262"/>
        <v>-1459</v>
      </c>
      <c r="N444" s="106"/>
      <c r="O444" s="107"/>
      <c r="P444" s="26">
        <f t="shared" si="263"/>
        <v>-1459</v>
      </c>
      <c r="Q444" s="117"/>
      <c r="R444" s="117"/>
      <c r="S444" s="38">
        <f t="shared" si="264"/>
        <v>-1459</v>
      </c>
      <c r="T444" s="106"/>
      <c r="U444" s="116"/>
      <c r="V444" s="20">
        <f t="shared" si="265"/>
        <v>-1459</v>
      </c>
      <c r="W444" s="143"/>
    </row>
    <row r="445" spans="1:23" ht="15.75" customHeight="1">
      <c r="A445" s="114"/>
      <c r="B445" s="106"/>
      <c r="C445" s="107"/>
      <c r="D445" s="26">
        <f t="shared" si="259"/>
        <v>-1459</v>
      </c>
      <c r="E445" s="117"/>
      <c r="F445" s="117"/>
      <c r="G445" s="19">
        <f t="shared" si="260"/>
        <v>-1459</v>
      </c>
      <c r="H445" s="116"/>
      <c r="I445" s="107"/>
      <c r="J445" s="26">
        <f t="shared" si="261"/>
        <v>-1459</v>
      </c>
      <c r="K445" s="117"/>
      <c r="L445" s="117"/>
      <c r="M445" s="38">
        <f t="shared" si="262"/>
        <v>-1459</v>
      </c>
      <c r="N445" s="106"/>
      <c r="O445" s="107"/>
      <c r="P445" s="26">
        <f t="shared" si="263"/>
        <v>-1459</v>
      </c>
      <c r="Q445" s="117"/>
      <c r="R445" s="117"/>
      <c r="S445" s="38">
        <f t="shared" si="264"/>
        <v>-1459</v>
      </c>
      <c r="T445" s="106"/>
      <c r="U445" s="116"/>
      <c r="V445" s="20">
        <f t="shared" si="265"/>
        <v>-1459</v>
      </c>
      <c r="W445" s="143"/>
    </row>
    <row r="446" spans="1:23" ht="15.75" customHeight="1">
      <c r="A446" s="114"/>
      <c r="B446" s="106"/>
      <c r="C446" s="107"/>
      <c r="D446" s="26">
        <f t="shared" si="259"/>
        <v>-1459</v>
      </c>
      <c r="E446" s="117"/>
      <c r="F446" s="117"/>
      <c r="G446" s="19">
        <f t="shared" si="260"/>
        <v>-1459</v>
      </c>
      <c r="H446" s="116"/>
      <c r="I446" s="107"/>
      <c r="J446" s="26">
        <f t="shared" si="261"/>
        <v>-1459</v>
      </c>
      <c r="K446" s="117"/>
      <c r="L446" s="117"/>
      <c r="M446" s="38">
        <f t="shared" si="262"/>
        <v>-1459</v>
      </c>
      <c r="N446" s="106"/>
      <c r="O446" s="107"/>
      <c r="P446" s="26">
        <f t="shared" si="263"/>
        <v>-1459</v>
      </c>
      <c r="Q446" s="117"/>
      <c r="R446" s="117"/>
      <c r="S446" s="38">
        <f t="shared" si="264"/>
        <v>-1459</v>
      </c>
      <c r="T446" s="106"/>
      <c r="U446" s="116"/>
      <c r="V446" s="20">
        <f t="shared" si="265"/>
        <v>-1459</v>
      </c>
      <c r="W446" s="143"/>
    </row>
    <row r="447" spans="1:23" ht="15.75" customHeight="1">
      <c r="A447" s="114"/>
      <c r="B447" s="106"/>
      <c r="C447" s="107"/>
      <c r="D447" s="26">
        <f t="shared" si="259"/>
        <v>-1459</v>
      </c>
      <c r="E447" s="117"/>
      <c r="F447" s="117"/>
      <c r="G447" s="19">
        <f t="shared" si="260"/>
        <v>-1459</v>
      </c>
      <c r="H447" s="116"/>
      <c r="I447" s="107"/>
      <c r="J447" s="26">
        <f t="shared" si="261"/>
        <v>-1459</v>
      </c>
      <c r="K447" s="117"/>
      <c r="L447" s="117"/>
      <c r="M447" s="38">
        <f t="shared" si="262"/>
        <v>-1459</v>
      </c>
      <c r="N447" s="106"/>
      <c r="O447" s="107"/>
      <c r="P447" s="26">
        <f t="shared" si="263"/>
        <v>-1459</v>
      </c>
      <c r="Q447" s="117"/>
      <c r="R447" s="117"/>
      <c r="S447" s="38">
        <f t="shared" si="264"/>
        <v>-1459</v>
      </c>
      <c r="T447" s="106"/>
      <c r="U447" s="116"/>
      <c r="V447" s="20">
        <f t="shared" si="265"/>
        <v>-1459</v>
      </c>
      <c r="W447" s="143"/>
    </row>
    <row r="448" spans="1:23" ht="15.75" customHeight="1">
      <c r="A448" s="114"/>
      <c r="B448" s="122"/>
      <c r="C448" s="123"/>
      <c r="D448" s="26">
        <f t="shared" si="259"/>
        <v>-1459</v>
      </c>
      <c r="E448" s="117"/>
      <c r="F448" s="117"/>
      <c r="G448" s="19">
        <f t="shared" si="260"/>
        <v>-1459</v>
      </c>
      <c r="H448" s="124"/>
      <c r="I448" s="123"/>
      <c r="J448" s="26">
        <f t="shared" si="261"/>
        <v>-1459</v>
      </c>
      <c r="K448" s="117"/>
      <c r="L448" s="117"/>
      <c r="M448" s="38">
        <f t="shared" si="262"/>
        <v>-1459</v>
      </c>
      <c r="N448" s="122"/>
      <c r="O448" s="123"/>
      <c r="P448" s="26">
        <f t="shared" si="263"/>
        <v>-1459</v>
      </c>
      <c r="Q448" s="117"/>
      <c r="R448" s="117"/>
      <c r="S448" s="38">
        <f t="shared" si="264"/>
        <v>-1459</v>
      </c>
      <c r="T448" s="106"/>
      <c r="U448" s="116"/>
      <c r="V448" s="20">
        <f t="shared" si="265"/>
        <v>-1459</v>
      </c>
      <c r="W448" s="143"/>
    </row>
    <row r="449" spans="1:23" ht="15.75" customHeight="1">
      <c r="A449" s="114"/>
      <c r="B449" s="122"/>
      <c r="C449" s="123"/>
      <c r="D449" s="26">
        <f t="shared" si="259"/>
        <v>-1459</v>
      </c>
      <c r="E449" s="117"/>
      <c r="F449" s="117"/>
      <c r="G449" s="19">
        <f t="shared" si="260"/>
        <v>-1459</v>
      </c>
      <c r="H449" s="124"/>
      <c r="I449" s="123"/>
      <c r="J449" s="26">
        <f t="shared" si="261"/>
        <v>-1459</v>
      </c>
      <c r="K449" s="117"/>
      <c r="L449" s="117"/>
      <c r="M449" s="38">
        <f t="shared" si="262"/>
        <v>-1459</v>
      </c>
      <c r="N449" s="122"/>
      <c r="O449" s="123"/>
      <c r="P449" s="26">
        <f t="shared" si="263"/>
        <v>-1459</v>
      </c>
      <c r="Q449" s="117"/>
      <c r="R449" s="117"/>
      <c r="S449" s="38">
        <f t="shared" si="264"/>
        <v>-1459</v>
      </c>
      <c r="T449" s="122"/>
      <c r="U449" s="124"/>
      <c r="V449" s="20">
        <f t="shared" si="265"/>
        <v>-1459</v>
      </c>
      <c r="W449" s="143"/>
    </row>
    <row r="450" spans="1:23" ht="15.75" customHeight="1">
      <c r="A450" s="114"/>
      <c r="B450" s="122"/>
      <c r="C450" s="123"/>
      <c r="D450" s="39">
        <f t="shared" si="259"/>
        <v>-1459</v>
      </c>
      <c r="E450" s="128"/>
      <c r="F450" s="128"/>
      <c r="G450" s="55">
        <f t="shared" si="260"/>
        <v>-1459</v>
      </c>
      <c r="H450" s="124"/>
      <c r="I450" s="123"/>
      <c r="J450" s="39">
        <f t="shared" si="261"/>
        <v>-1459</v>
      </c>
      <c r="K450" s="128"/>
      <c r="L450" s="128"/>
      <c r="M450" s="40">
        <f t="shared" si="262"/>
        <v>-1459</v>
      </c>
      <c r="N450" s="122"/>
      <c r="O450" s="123"/>
      <c r="P450" s="39">
        <f t="shared" si="263"/>
        <v>-1459</v>
      </c>
      <c r="Q450" s="128"/>
      <c r="R450" s="128"/>
      <c r="S450" s="40">
        <f t="shared" si="264"/>
        <v>-1459</v>
      </c>
      <c r="T450" s="122"/>
      <c r="U450" s="123"/>
      <c r="V450" s="49">
        <f t="shared" si="265"/>
        <v>-1459</v>
      </c>
      <c r="W450" s="143"/>
    </row>
    <row r="451" spans="1:23" ht="15.75" customHeight="1">
      <c r="A451" s="87"/>
      <c r="B451" s="77">
        <f ca="1">IFERROR(__xludf.DUMMYFUNCTION("DATE(VALUE(LEFT($B$2,4)),VALUE(MID($B$2,6,2)),VALUE(RIGHT($B$2,2)))
+ (VALUE(REGEXEXTRACT(INDIRECT(""A""&amp;ROW()+1),""\d+""))-1)*7
+ INT((COLUMN()-COLUMN($B451))/3)
"),47748)</f>
        <v>47748</v>
      </c>
      <c r="C451" s="81"/>
      <c r="D451" s="82"/>
      <c r="E451" s="77">
        <f ca="1">IFERROR(__xludf.DUMMYFUNCTION("DATE(VALUE(LEFT($B$2,4)),VALUE(MID($B$2,6,2)),VALUE(RIGHT($B$2,2)))
+ (VALUE(REGEXEXTRACT(INDIRECT(""A""&amp;ROW()+1),""\d+""))-1)*7
+ INT((COLUMN()-COLUMN($B451))/3)
"),47749)</f>
        <v>47749</v>
      </c>
      <c r="F451" s="81"/>
      <c r="G451" s="82"/>
      <c r="H451" s="77">
        <f ca="1">IFERROR(__xludf.DUMMYFUNCTION("DATE(VALUE(LEFT($B$2,4)),VALUE(MID($B$2,6,2)),VALUE(RIGHT($B$2,2)))
+ (VALUE(REGEXEXTRACT(INDIRECT(""A""&amp;ROW()+1),""\d+""))-1)*7
+ INT((COLUMN()-COLUMN($B451))/3)
"),47750)</f>
        <v>47750</v>
      </c>
      <c r="I451" s="81"/>
      <c r="J451" s="82"/>
      <c r="K451" s="77">
        <f ca="1">IFERROR(__xludf.DUMMYFUNCTION("DATE(VALUE(LEFT($B$2,4)),VALUE(MID($B$2,6,2)),VALUE(RIGHT($B$2,2)))
+ (VALUE(REGEXEXTRACT(INDIRECT(""A""&amp;ROW()+1),""\d+""))-1)*7
+ INT((COLUMN()-COLUMN($B451))/3)
"),47751)</f>
        <v>47751</v>
      </c>
      <c r="L451" s="81"/>
      <c r="M451" s="82"/>
      <c r="N451" s="77">
        <f ca="1">IFERROR(__xludf.DUMMYFUNCTION("DATE(VALUE(LEFT($B$2,4)),VALUE(MID($B$2,6,2)),VALUE(RIGHT($B$2,2)))
+ (VALUE(REGEXEXTRACT(INDIRECT(""A""&amp;ROW()+1),""\d+""))-1)*7
+ INT((COLUMN()-COLUMN($B451))/3)
"),47752)</f>
        <v>47752</v>
      </c>
      <c r="O451" s="81"/>
      <c r="P451" s="82"/>
      <c r="Q451" s="77">
        <f ca="1">IFERROR(__xludf.DUMMYFUNCTION("DATE(VALUE(LEFT($B$2,4)),VALUE(MID($B$2,6,2)),VALUE(RIGHT($B$2,2)))
+ (VALUE(REGEXEXTRACT(INDIRECT(""A""&amp;ROW()+1),""\d+""))-1)*7
+ INT((COLUMN()-COLUMN($B451))/3)
"),47753)</f>
        <v>47753</v>
      </c>
      <c r="R451" s="81"/>
      <c r="S451" s="82"/>
      <c r="T451" s="77">
        <f ca="1">IFERROR(__xludf.DUMMYFUNCTION("DATE(VALUE(LEFT($B$2,4)),VALUE(MID($B$2,6,2)),VALUE(RIGHT($B$2,2)))
+ (VALUE(REGEXEXTRACT(INDIRECT(""A""&amp;ROW()+1),""\d+""))-1)*7
+ INT((COLUMN()-COLUMN($B451))/3)
"),47754)</f>
        <v>47754</v>
      </c>
      <c r="U451" s="81"/>
      <c r="V451" s="82"/>
      <c r="W451" s="52" t="s">
        <v>20</v>
      </c>
    </row>
    <row r="452" spans="1:23" ht="15.75" customHeight="1">
      <c r="A452" s="47" t="s">
        <v>167</v>
      </c>
      <c r="B452" s="113"/>
      <c r="C452" s="109"/>
      <c r="D452" s="42">
        <f>V450+C452</f>
        <v>-1459</v>
      </c>
      <c r="E452" s="112"/>
      <c r="F452" s="111"/>
      <c r="G452" s="36">
        <f>D462+F452</f>
        <v>-1459</v>
      </c>
      <c r="H452" s="132"/>
      <c r="I452" s="109"/>
      <c r="J452" s="42">
        <f>G462+I452</f>
        <v>-1459</v>
      </c>
      <c r="K452" s="112"/>
      <c r="L452" s="111"/>
      <c r="M452" s="18">
        <f>J462+L452</f>
        <v>-1459</v>
      </c>
      <c r="N452" s="113"/>
      <c r="O452" s="109"/>
      <c r="P452" s="35">
        <f>M462+O452</f>
        <v>-1459</v>
      </c>
      <c r="Q452" s="112"/>
      <c r="R452" s="111"/>
      <c r="S452" s="18">
        <f>P462+R452</f>
        <v>-1459</v>
      </c>
      <c r="T452" s="173"/>
      <c r="U452" s="173"/>
      <c r="V452" s="50">
        <f>S462+U452</f>
        <v>-1459</v>
      </c>
      <c r="W452" s="172"/>
    </row>
    <row r="453" spans="1:23" ht="15.75" customHeight="1">
      <c r="A453" s="114"/>
      <c r="B453" s="118"/>
      <c r="C453" s="117"/>
      <c r="D453" s="19">
        <f t="shared" ref="D453:D462" si="266">D452+C453</f>
        <v>-1459</v>
      </c>
      <c r="E453" s="106"/>
      <c r="F453" s="107"/>
      <c r="G453" s="26">
        <f t="shared" ref="G453:G462" si="267">G452+F453</f>
        <v>-1459</v>
      </c>
      <c r="H453" s="133"/>
      <c r="I453" s="117"/>
      <c r="J453" s="19">
        <f t="shared" ref="J453:J462" si="268">J452+I453</f>
        <v>-1459</v>
      </c>
      <c r="K453" s="106"/>
      <c r="L453" s="107"/>
      <c r="M453" s="26">
        <f t="shared" ref="M453:M462" si="269">M452+L453</f>
        <v>-1459</v>
      </c>
      <c r="N453" s="118"/>
      <c r="O453" s="117"/>
      <c r="P453" s="38">
        <f t="shared" ref="P453:P462" si="270">P452+O453</f>
        <v>-1459</v>
      </c>
      <c r="Q453" s="106"/>
      <c r="R453" s="107"/>
      <c r="S453" s="26">
        <f t="shared" ref="S453:S462" si="271">S452+R453</f>
        <v>-1459</v>
      </c>
      <c r="T453" s="136"/>
      <c r="U453" s="136"/>
      <c r="V453" s="45">
        <f t="shared" ref="V453:V462" si="272">V452+U453</f>
        <v>-1459</v>
      </c>
      <c r="W453" s="143"/>
    </row>
    <row r="454" spans="1:23" ht="15.75" customHeight="1">
      <c r="A454" s="114"/>
      <c r="B454" s="118"/>
      <c r="C454" s="117"/>
      <c r="D454" s="19">
        <f t="shared" si="266"/>
        <v>-1459</v>
      </c>
      <c r="E454" s="106"/>
      <c r="F454" s="107"/>
      <c r="G454" s="26">
        <f t="shared" si="267"/>
        <v>-1459</v>
      </c>
      <c r="H454" s="133"/>
      <c r="I454" s="117"/>
      <c r="J454" s="19">
        <f t="shared" si="268"/>
        <v>-1459</v>
      </c>
      <c r="K454" s="106"/>
      <c r="L454" s="107"/>
      <c r="M454" s="26">
        <f t="shared" si="269"/>
        <v>-1459</v>
      </c>
      <c r="N454" s="117"/>
      <c r="O454" s="117"/>
      <c r="P454" s="38">
        <f t="shared" si="270"/>
        <v>-1459</v>
      </c>
      <c r="Q454" s="106"/>
      <c r="R454" s="107"/>
      <c r="S454" s="26">
        <f t="shared" si="271"/>
        <v>-1459</v>
      </c>
      <c r="T454" s="136"/>
      <c r="U454" s="136"/>
      <c r="V454" s="45">
        <f t="shared" si="272"/>
        <v>-1459</v>
      </c>
      <c r="W454" s="143"/>
    </row>
    <row r="455" spans="1:23" ht="15.75" customHeight="1">
      <c r="A455" s="114"/>
      <c r="B455" s="118"/>
      <c r="C455" s="117"/>
      <c r="D455" s="19">
        <f t="shared" si="266"/>
        <v>-1459</v>
      </c>
      <c r="E455" s="106"/>
      <c r="F455" s="107"/>
      <c r="G455" s="26">
        <f t="shared" si="267"/>
        <v>-1459</v>
      </c>
      <c r="H455" s="133"/>
      <c r="I455" s="117"/>
      <c r="J455" s="19">
        <f t="shared" si="268"/>
        <v>-1459</v>
      </c>
      <c r="K455" s="106"/>
      <c r="L455" s="107"/>
      <c r="M455" s="26">
        <f t="shared" si="269"/>
        <v>-1459</v>
      </c>
      <c r="N455" s="117"/>
      <c r="O455" s="117"/>
      <c r="P455" s="38">
        <f t="shared" si="270"/>
        <v>-1459</v>
      </c>
      <c r="Q455" s="106"/>
      <c r="R455" s="107"/>
      <c r="S455" s="26">
        <f t="shared" si="271"/>
        <v>-1459</v>
      </c>
      <c r="T455" s="136"/>
      <c r="U455" s="136"/>
      <c r="V455" s="45">
        <f t="shared" si="272"/>
        <v>-1459</v>
      </c>
      <c r="W455" s="143"/>
    </row>
    <row r="456" spans="1:23" ht="15.75" customHeight="1">
      <c r="A456" s="114"/>
      <c r="B456" s="118"/>
      <c r="C456" s="117"/>
      <c r="D456" s="19">
        <f t="shared" si="266"/>
        <v>-1459</v>
      </c>
      <c r="E456" s="106"/>
      <c r="F456" s="107"/>
      <c r="G456" s="26">
        <f t="shared" si="267"/>
        <v>-1459</v>
      </c>
      <c r="H456" s="133"/>
      <c r="I456" s="117"/>
      <c r="J456" s="19">
        <f t="shared" si="268"/>
        <v>-1459</v>
      </c>
      <c r="K456" s="106"/>
      <c r="L456" s="107"/>
      <c r="M456" s="26">
        <f t="shared" si="269"/>
        <v>-1459</v>
      </c>
      <c r="N456" s="117"/>
      <c r="O456" s="117"/>
      <c r="P456" s="38">
        <f t="shared" si="270"/>
        <v>-1459</v>
      </c>
      <c r="Q456" s="106"/>
      <c r="R456" s="107"/>
      <c r="S456" s="26">
        <f t="shared" si="271"/>
        <v>-1459</v>
      </c>
      <c r="T456" s="136"/>
      <c r="U456" s="136"/>
      <c r="V456" s="45">
        <f t="shared" si="272"/>
        <v>-1459</v>
      </c>
      <c r="W456" s="143"/>
    </row>
    <row r="457" spans="1:23" ht="15.75" customHeight="1">
      <c r="A457" s="114"/>
      <c r="B457" s="118"/>
      <c r="C457" s="117"/>
      <c r="D457" s="19">
        <f t="shared" si="266"/>
        <v>-1459</v>
      </c>
      <c r="E457" s="106"/>
      <c r="F457" s="107"/>
      <c r="G457" s="26">
        <f t="shared" si="267"/>
        <v>-1459</v>
      </c>
      <c r="H457" s="133"/>
      <c r="I457" s="117"/>
      <c r="J457" s="19">
        <f t="shared" si="268"/>
        <v>-1459</v>
      </c>
      <c r="K457" s="106"/>
      <c r="L457" s="107"/>
      <c r="M457" s="26">
        <f t="shared" si="269"/>
        <v>-1459</v>
      </c>
      <c r="N457" s="117"/>
      <c r="O457" s="117"/>
      <c r="P457" s="38">
        <f t="shared" si="270"/>
        <v>-1459</v>
      </c>
      <c r="Q457" s="106"/>
      <c r="R457" s="107"/>
      <c r="S457" s="26">
        <f t="shared" si="271"/>
        <v>-1459</v>
      </c>
      <c r="T457" s="136"/>
      <c r="U457" s="136"/>
      <c r="V457" s="45">
        <f t="shared" si="272"/>
        <v>-1459</v>
      </c>
      <c r="W457" s="143"/>
    </row>
    <row r="458" spans="1:23" ht="15.75" customHeight="1">
      <c r="A458" s="114"/>
      <c r="B458" s="117"/>
      <c r="C458" s="117"/>
      <c r="D458" s="19">
        <f t="shared" si="266"/>
        <v>-1459</v>
      </c>
      <c r="E458" s="106"/>
      <c r="F458" s="107"/>
      <c r="G458" s="26">
        <f t="shared" si="267"/>
        <v>-1459</v>
      </c>
      <c r="H458" s="133"/>
      <c r="I458" s="117"/>
      <c r="J458" s="19">
        <f t="shared" si="268"/>
        <v>-1459</v>
      </c>
      <c r="K458" s="106"/>
      <c r="L458" s="107"/>
      <c r="M458" s="26">
        <f t="shared" si="269"/>
        <v>-1459</v>
      </c>
      <c r="N458" s="117"/>
      <c r="O458" s="117"/>
      <c r="P458" s="38">
        <f t="shared" si="270"/>
        <v>-1459</v>
      </c>
      <c r="Q458" s="106"/>
      <c r="R458" s="107"/>
      <c r="S458" s="26">
        <f t="shared" si="271"/>
        <v>-1459</v>
      </c>
      <c r="T458" s="136"/>
      <c r="U458" s="136"/>
      <c r="V458" s="45">
        <f t="shared" si="272"/>
        <v>-1459</v>
      </c>
      <c r="W458" s="143"/>
    </row>
    <row r="459" spans="1:23" ht="15.75" customHeight="1">
      <c r="A459" s="114"/>
      <c r="B459" s="117"/>
      <c r="C459" s="117"/>
      <c r="D459" s="19">
        <f t="shared" si="266"/>
        <v>-1459</v>
      </c>
      <c r="E459" s="106"/>
      <c r="F459" s="107"/>
      <c r="G459" s="26">
        <f t="shared" si="267"/>
        <v>-1459</v>
      </c>
      <c r="H459" s="133"/>
      <c r="I459" s="117"/>
      <c r="J459" s="19">
        <f t="shared" si="268"/>
        <v>-1459</v>
      </c>
      <c r="K459" s="106"/>
      <c r="L459" s="107"/>
      <c r="M459" s="26">
        <f t="shared" si="269"/>
        <v>-1459</v>
      </c>
      <c r="N459" s="117"/>
      <c r="O459" s="117"/>
      <c r="P459" s="38">
        <f t="shared" si="270"/>
        <v>-1459</v>
      </c>
      <c r="Q459" s="106"/>
      <c r="R459" s="107"/>
      <c r="S459" s="26">
        <f t="shared" si="271"/>
        <v>-1459</v>
      </c>
      <c r="T459" s="136"/>
      <c r="U459" s="136"/>
      <c r="V459" s="45">
        <f t="shared" si="272"/>
        <v>-1459</v>
      </c>
      <c r="W459" s="143"/>
    </row>
    <row r="460" spans="1:23" ht="15.75" customHeight="1">
      <c r="A460" s="114"/>
      <c r="B460" s="117"/>
      <c r="C460" s="117"/>
      <c r="D460" s="19">
        <f t="shared" si="266"/>
        <v>-1459</v>
      </c>
      <c r="E460" s="106"/>
      <c r="F460" s="107"/>
      <c r="G460" s="26">
        <f t="shared" si="267"/>
        <v>-1459</v>
      </c>
      <c r="H460" s="133"/>
      <c r="I460" s="117"/>
      <c r="J460" s="19">
        <f t="shared" si="268"/>
        <v>-1459</v>
      </c>
      <c r="K460" s="106"/>
      <c r="L460" s="107"/>
      <c r="M460" s="26">
        <f t="shared" si="269"/>
        <v>-1459</v>
      </c>
      <c r="N460" s="117"/>
      <c r="O460" s="117"/>
      <c r="P460" s="38">
        <f t="shared" si="270"/>
        <v>-1459</v>
      </c>
      <c r="Q460" s="106"/>
      <c r="R460" s="107"/>
      <c r="S460" s="26">
        <f t="shared" si="271"/>
        <v>-1459</v>
      </c>
      <c r="T460" s="136"/>
      <c r="U460" s="136"/>
      <c r="V460" s="45">
        <f t="shared" si="272"/>
        <v>-1459</v>
      </c>
      <c r="W460" s="143"/>
    </row>
    <row r="461" spans="1:23" ht="15.75" customHeight="1">
      <c r="A461" s="114"/>
      <c r="B461" s="117"/>
      <c r="C461" s="117"/>
      <c r="D461" s="19">
        <f t="shared" si="266"/>
        <v>-1459</v>
      </c>
      <c r="E461" s="122"/>
      <c r="F461" s="123"/>
      <c r="G461" s="26">
        <f t="shared" si="267"/>
        <v>-1459</v>
      </c>
      <c r="H461" s="133"/>
      <c r="I461" s="117"/>
      <c r="J461" s="19">
        <f t="shared" si="268"/>
        <v>-1459</v>
      </c>
      <c r="K461" s="122"/>
      <c r="L461" s="123"/>
      <c r="M461" s="26">
        <f t="shared" si="269"/>
        <v>-1459</v>
      </c>
      <c r="N461" s="117"/>
      <c r="O461" s="117"/>
      <c r="P461" s="38">
        <f t="shared" si="270"/>
        <v>-1459</v>
      </c>
      <c r="Q461" s="122"/>
      <c r="R461" s="123"/>
      <c r="S461" s="26">
        <f t="shared" si="271"/>
        <v>-1459</v>
      </c>
      <c r="T461" s="136"/>
      <c r="U461" s="136"/>
      <c r="V461" s="45">
        <f t="shared" si="272"/>
        <v>-1459</v>
      </c>
      <c r="W461" s="143"/>
    </row>
    <row r="462" spans="1:23" ht="15.75" customHeight="1">
      <c r="A462" s="114"/>
      <c r="B462" s="128"/>
      <c r="C462" s="128"/>
      <c r="D462" s="29">
        <f t="shared" si="266"/>
        <v>-1459</v>
      </c>
      <c r="E462" s="122"/>
      <c r="F462" s="123"/>
      <c r="G462" s="53">
        <f t="shared" si="267"/>
        <v>-1459</v>
      </c>
      <c r="H462" s="140"/>
      <c r="I462" s="128"/>
      <c r="J462" s="29">
        <f t="shared" si="268"/>
        <v>-1459</v>
      </c>
      <c r="K462" s="122"/>
      <c r="L462" s="123"/>
      <c r="M462" s="39">
        <f t="shared" si="269"/>
        <v>-1459</v>
      </c>
      <c r="N462" s="128"/>
      <c r="O462" s="128"/>
      <c r="P462" s="40">
        <f t="shared" si="270"/>
        <v>-1459</v>
      </c>
      <c r="Q462" s="122"/>
      <c r="R462" s="123"/>
      <c r="S462" s="39">
        <f t="shared" si="271"/>
        <v>-1459</v>
      </c>
      <c r="T462" s="141"/>
      <c r="U462" s="141"/>
      <c r="V462" s="46">
        <f t="shared" si="272"/>
        <v>-1459</v>
      </c>
      <c r="W462" s="143"/>
    </row>
    <row r="463" spans="1:23" ht="15.75" customHeight="1">
      <c r="A463" s="87"/>
      <c r="B463" s="77">
        <f ca="1">IFERROR(__xludf.DUMMYFUNCTION("DATE(VALUE(LEFT($B$2,4)),VALUE(MID($B$2,6,2)),VALUE(RIGHT($B$2,2)))
+ (VALUE(REGEXEXTRACT(INDIRECT(""A""&amp;ROW()+1),""\d+""))-1)*7
+ INT((COLUMN()-COLUMN($B463))/3)
"),47755)</f>
        <v>47755</v>
      </c>
      <c r="C463" s="81"/>
      <c r="D463" s="82"/>
      <c r="E463" s="77">
        <f ca="1">IFERROR(__xludf.DUMMYFUNCTION("DATE(VALUE(LEFT($B$2,4)),VALUE(MID($B$2,6,2)),VALUE(RIGHT($B$2,2)))
+ (VALUE(REGEXEXTRACT(INDIRECT(""A""&amp;ROW()+1),""\d+""))-1)*7
+ INT((COLUMN()-COLUMN($B463))/3)
"),47756)</f>
        <v>47756</v>
      </c>
      <c r="F463" s="81"/>
      <c r="G463" s="82"/>
      <c r="H463" s="77">
        <f ca="1">IFERROR(__xludf.DUMMYFUNCTION("DATE(VALUE(LEFT($B$2,4)),VALUE(MID($B$2,6,2)),VALUE(RIGHT($B$2,2)))
+ (VALUE(REGEXEXTRACT(INDIRECT(""A""&amp;ROW()+1),""\d+""))-1)*7
+ INT((COLUMN()-COLUMN($B463))/3)
"),47757)</f>
        <v>47757</v>
      </c>
      <c r="I463" s="81"/>
      <c r="J463" s="82"/>
      <c r="K463" s="77">
        <f ca="1">IFERROR(__xludf.DUMMYFUNCTION("DATE(VALUE(LEFT($B$2,4)),VALUE(MID($B$2,6,2)),VALUE(RIGHT($B$2,2)))
+ (VALUE(REGEXEXTRACT(INDIRECT(""A""&amp;ROW()+1),""\d+""))-1)*7
+ INT((COLUMN()-COLUMN($B463))/3)
"),47758)</f>
        <v>47758</v>
      </c>
      <c r="L463" s="81"/>
      <c r="M463" s="82"/>
      <c r="N463" s="77">
        <f ca="1">IFERROR(__xludf.DUMMYFUNCTION("DATE(VALUE(LEFT($B$2,4)),VALUE(MID($B$2,6,2)),VALUE(RIGHT($B$2,2)))
+ (VALUE(REGEXEXTRACT(INDIRECT(""A""&amp;ROW()+1),""\d+""))-1)*7
+ INT((COLUMN()-COLUMN($B463))/3)
"),47759)</f>
        <v>47759</v>
      </c>
      <c r="O463" s="81"/>
      <c r="P463" s="82"/>
      <c r="Q463" s="77">
        <f ca="1">IFERROR(__xludf.DUMMYFUNCTION("DATE(VALUE(LEFT($B$2,4)),VALUE(MID($B$2,6,2)),VALUE(RIGHT($B$2,2)))
+ (VALUE(REGEXEXTRACT(INDIRECT(""A""&amp;ROW()+1),""\d+""))-1)*7
+ INT((COLUMN()-COLUMN($B463))/3)
"),47760)</f>
        <v>47760</v>
      </c>
      <c r="R463" s="81"/>
      <c r="S463" s="82"/>
      <c r="T463" s="77">
        <f ca="1">IFERROR(__xludf.DUMMYFUNCTION("DATE(VALUE(LEFT($B$2,4)),VALUE(MID($B$2,6,2)),VALUE(RIGHT($B$2,2)))
+ (VALUE(REGEXEXTRACT(INDIRECT(""A""&amp;ROW()+1),""\d+""))-1)*7
+ INT((COLUMN()-COLUMN($B463))/3)
"),47761)</f>
        <v>47761</v>
      </c>
      <c r="U463" s="81"/>
      <c r="V463" s="82"/>
      <c r="W463" s="143"/>
    </row>
    <row r="464" spans="1:23" ht="15.75" customHeight="1">
      <c r="A464" s="51" t="s">
        <v>168</v>
      </c>
      <c r="B464" s="112"/>
      <c r="C464" s="111"/>
      <c r="D464" s="17">
        <f>V462+C464</f>
        <v>-1459</v>
      </c>
      <c r="E464" s="109"/>
      <c r="F464" s="109"/>
      <c r="G464" s="54">
        <f>D474+F464</f>
        <v>-1459</v>
      </c>
      <c r="H464" s="110"/>
      <c r="I464" s="111"/>
      <c r="J464" s="17">
        <f>G474+I464</f>
        <v>-1459</v>
      </c>
      <c r="K464" s="109"/>
      <c r="L464" s="109"/>
      <c r="M464" s="54">
        <f>J474+L464</f>
        <v>-1459</v>
      </c>
      <c r="N464" s="112"/>
      <c r="O464" s="111"/>
      <c r="P464" s="17">
        <f>M474+O464</f>
        <v>-1459</v>
      </c>
      <c r="Q464" s="109"/>
      <c r="R464" s="109"/>
      <c r="S464" s="35">
        <f>P474+R464</f>
        <v>-1459</v>
      </c>
      <c r="T464" s="112"/>
      <c r="U464" s="111"/>
      <c r="V464" s="48">
        <f>S474+U464</f>
        <v>-1459</v>
      </c>
      <c r="W464" s="143"/>
    </row>
    <row r="465" spans="1:23" ht="15.75" customHeight="1">
      <c r="A465" s="114"/>
      <c r="B465" s="106"/>
      <c r="C465" s="107"/>
      <c r="D465" s="26">
        <f t="shared" ref="D465:D474" si="273">D464+C465</f>
        <v>-1459</v>
      </c>
      <c r="E465" s="117"/>
      <c r="F465" s="117"/>
      <c r="G465" s="19">
        <f t="shared" ref="G465:G474" si="274">G464+F465</f>
        <v>-1459</v>
      </c>
      <c r="H465" s="116"/>
      <c r="I465" s="107"/>
      <c r="J465" s="26">
        <f t="shared" ref="J465:J474" si="275">J464+I465</f>
        <v>-1459</v>
      </c>
      <c r="K465" s="117"/>
      <c r="L465" s="117"/>
      <c r="M465" s="19">
        <f t="shared" ref="M465:M474" si="276">M464+L465</f>
        <v>-1459</v>
      </c>
      <c r="N465" s="106"/>
      <c r="O465" s="107"/>
      <c r="P465" s="26">
        <f t="shared" ref="P465:P474" si="277">P464+O465</f>
        <v>-1459</v>
      </c>
      <c r="Q465" s="117"/>
      <c r="R465" s="117"/>
      <c r="S465" s="38">
        <f t="shared" ref="S465:S474" si="278">S464+R465</f>
        <v>-1459</v>
      </c>
      <c r="T465" s="106"/>
      <c r="U465" s="107"/>
      <c r="V465" s="20">
        <f t="shared" ref="V465:V474" si="279">V464+U465</f>
        <v>-1459</v>
      </c>
      <c r="W465" s="143"/>
    </row>
    <row r="466" spans="1:23" ht="15.75" customHeight="1">
      <c r="A466" s="114"/>
      <c r="B466" s="106"/>
      <c r="C466" s="107"/>
      <c r="D466" s="26">
        <f t="shared" si="273"/>
        <v>-1459</v>
      </c>
      <c r="E466" s="117"/>
      <c r="F466" s="117"/>
      <c r="G466" s="19">
        <f t="shared" si="274"/>
        <v>-1459</v>
      </c>
      <c r="H466" s="116"/>
      <c r="I466" s="107"/>
      <c r="J466" s="26">
        <f t="shared" si="275"/>
        <v>-1459</v>
      </c>
      <c r="K466" s="117"/>
      <c r="L466" s="117"/>
      <c r="M466" s="19">
        <f t="shared" si="276"/>
        <v>-1459</v>
      </c>
      <c r="N466" s="106"/>
      <c r="O466" s="107"/>
      <c r="P466" s="26">
        <f t="shared" si="277"/>
        <v>-1459</v>
      </c>
      <c r="Q466" s="117"/>
      <c r="R466" s="117"/>
      <c r="S466" s="38">
        <f t="shared" si="278"/>
        <v>-1459</v>
      </c>
      <c r="T466" s="106"/>
      <c r="U466" s="116"/>
      <c r="V466" s="20">
        <f t="shared" si="279"/>
        <v>-1459</v>
      </c>
      <c r="W466" s="143"/>
    </row>
    <row r="467" spans="1:23" ht="15.75" customHeight="1">
      <c r="A467" s="114"/>
      <c r="B467" s="106"/>
      <c r="C467" s="107"/>
      <c r="D467" s="26">
        <f t="shared" si="273"/>
        <v>-1459</v>
      </c>
      <c r="E467" s="117"/>
      <c r="F467" s="117"/>
      <c r="G467" s="19">
        <f t="shared" si="274"/>
        <v>-1459</v>
      </c>
      <c r="H467" s="116"/>
      <c r="I467" s="107"/>
      <c r="J467" s="26">
        <f t="shared" si="275"/>
        <v>-1459</v>
      </c>
      <c r="K467" s="117"/>
      <c r="L467" s="117"/>
      <c r="M467" s="19">
        <f t="shared" si="276"/>
        <v>-1459</v>
      </c>
      <c r="N467" s="106"/>
      <c r="O467" s="107"/>
      <c r="P467" s="26">
        <f t="shared" si="277"/>
        <v>-1459</v>
      </c>
      <c r="Q467" s="117"/>
      <c r="R467" s="117"/>
      <c r="S467" s="38">
        <f t="shared" si="278"/>
        <v>-1459</v>
      </c>
      <c r="T467" s="106"/>
      <c r="U467" s="116"/>
      <c r="V467" s="20">
        <f t="shared" si="279"/>
        <v>-1459</v>
      </c>
      <c r="W467" s="143"/>
    </row>
    <row r="468" spans="1:23" ht="15.75" customHeight="1">
      <c r="A468" s="114"/>
      <c r="B468" s="106"/>
      <c r="C468" s="107"/>
      <c r="D468" s="26">
        <f t="shared" si="273"/>
        <v>-1459</v>
      </c>
      <c r="E468" s="117"/>
      <c r="F468" s="117"/>
      <c r="G468" s="19">
        <f t="shared" si="274"/>
        <v>-1459</v>
      </c>
      <c r="H468" s="116"/>
      <c r="I468" s="107"/>
      <c r="J468" s="26">
        <f t="shared" si="275"/>
        <v>-1459</v>
      </c>
      <c r="K468" s="117"/>
      <c r="L468" s="117"/>
      <c r="M468" s="19">
        <f t="shared" si="276"/>
        <v>-1459</v>
      </c>
      <c r="N468" s="116"/>
      <c r="O468" s="107"/>
      <c r="P468" s="26">
        <f t="shared" si="277"/>
        <v>-1459</v>
      </c>
      <c r="Q468" s="117"/>
      <c r="R468" s="117"/>
      <c r="S468" s="38">
        <f t="shared" si="278"/>
        <v>-1459</v>
      </c>
      <c r="T468" s="106"/>
      <c r="U468" s="116"/>
      <c r="V468" s="20">
        <f t="shared" si="279"/>
        <v>-1459</v>
      </c>
      <c r="W468" s="143"/>
    </row>
    <row r="469" spans="1:23" ht="15.75" customHeight="1">
      <c r="A469" s="114"/>
      <c r="B469" s="106"/>
      <c r="C469" s="107"/>
      <c r="D469" s="26">
        <f t="shared" si="273"/>
        <v>-1459</v>
      </c>
      <c r="E469" s="117"/>
      <c r="F469" s="117"/>
      <c r="G469" s="19">
        <f t="shared" si="274"/>
        <v>-1459</v>
      </c>
      <c r="H469" s="116"/>
      <c r="I469" s="107"/>
      <c r="J469" s="26">
        <f t="shared" si="275"/>
        <v>-1459</v>
      </c>
      <c r="K469" s="117"/>
      <c r="L469" s="117"/>
      <c r="M469" s="19">
        <f t="shared" si="276"/>
        <v>-1459</v>
      </c>
      <c r="N469" s="116"/>
      <c r="O469" s="107"/>
      <c r="P469" s="26">
        <f t="shared" si="277"/>
        <v>-1459</v>
      </c>
      <c r="Q469" s="117"/>
      <c r="R469" s="117"/>
      <c r="S469" s="38">
        <f t="shared" si="278"/>
        <v>-1459</v>
      </c>
      <c r="T469" s="106"/>
      <c r="U469" s="116"/>
      <c r="V469" s="20">
        <f t="shared" si="279"/>
        <v>-1459</v>
      </c>
      <c r="W469" s="143"/>
    </row>
    <row r="470" spans="1:23" ht="15.75" customHeight="1">
      <c r="A470" s="114"/>
      <c r="B470" s="122"/>
      <c r="C470" s="123"/>
      <c r="D470" s="26">
        <f t="shared" si="273"/>
        <v>-1459</v>
      </c>
      <c r="E470" s="117"/>
      <c r="F470" s="117"/>
      <c r="G470" s="19">
        <f t="shared" si="274"/>
        <v>-1459</v>
      </c>
      <c r="H470" s="116"/>
      <c r="I470" s="107"/>
      <c r="J470" s="26">
        <f t="shared" si="275"/>
        <v>-1459</v>
      </c>
      <c r="K470" s="117"/>
      <c r="L470" s="117"/>
      <c r="M470" s="38">
        <f t="shared" si="276"/>
        <v>-1459</v>
      </c>
      <c r="N470" s="106"/>
      <c r="O470" s="107"/>
      <c r="P470" s="26">
        <f t="shared" si="277"/>
        <v>-1459</v>
      </c>
      <c r="Q470" s="117"/>
      <c r="R470" s="117"/>
      <c r="S470" s="38">
        <f t="shared" si="278"/>
        <v>-1459</v>
      </c>
      <c r="T470" s="106"/>
      <c r="U470" s="116"/>
      <c r="V470" s="20">
        <f t="shared" si="279"/>
        <v>-1459</v>
      </c>
      <c r="W470" s="143"/>
    </row>
    <row r="471" spans="1:23" ht="15.75" customHeight="1">
      <c r="A471" s="114"/>
      <c r="B471" s="122"/>
      <c r="C471" s="123"/>
      <c r="D471" s="26">
        <f t="shared" si="273"/>
        <v>-1459</v>
      </c>
      <c r="E471" s="117"/>
      <c r="F471" s="117"/>
      <c r="G471" s="19">
        <f t="shared" si="274"/>
        <v>-1459</v>
      </c>
      <c r="H471" s="116"/>
      <c r="I471" s="107"/>
      <c r="J471" s="26">
        <f t="shared" si="275"/>
        <v>-1459</v>
      </c>
      <c r="K471" s="117"/>
      <c r="L471" s="117"/>
      <c r="M471" s="38">
        <f t="shared" si="276"/>
        <v>-1459</v>
      </c>
      <c r="N471" s="106"/>
      <c r="O471" s="107"/>
      <c r="P471" s="26">
        <f t="shared" si="277"/>
        <v>-1459</v>
      </c>
      <c r="Q471" s="117"/>
      <c r="R471" s="117"/>
      <c r="S471" s="38">
        <f t="shared" si="278"/>
        <v>-1459</v>
      </c>
      <c r="T471" s="106"/>
      <c r="U471" s="116"/>
      <c r="V471" s="20">
        <f t="shared" si="279"/>
        <v>-1459</v>
      </c>
      <c r="W471" s="143"/>
    </row>
    <row r="472" spans="1:23" ht="15.75" customHeight="1">
      <c r="A472" s="114"/>
      <c r="B472" s="122"/>
      <c r="C472" s="123"/>
      <c r="D472" s="26">
        <f t="shared" si="273"/>
        <v>-1459</v>
      </c>
      <c r="E472" s="117"/>
      <c r="F472" s="117"/>
      <c r="G472" s="19">
        <f t="shared" si="274"/>
        <v>-1459</v>
      </c>
      <c r="H472" s="124"/>
      <c r="I472" s="123"/>
      <c r="J472" s="26">
        <f t="shared" si="275"/>
        <v>-1459</v>
      </c>
      <c r="K472" s="117"/>
      <c r="L472" s="117"/>
      <c r="M472" s="38">
        <f t="shared" si="276"/>
        <v>-1459</v>
      </c>
      <c r="N472" s="122"/>
      <c r="O472" s="123"/>
      <c r="P472" s="26">
        <f t="shared" si="277"/>
        <v>-1459</v>
      </c>
      <c r="Q472" s="117"/>
      <c r="R472" s="117"/>
      <c r="S472" s="38">
        <f t="shared" si="278"/>
        <v>-1459</v>
      </c>
      <c r="T472" s="106"/>
      <c r="U472" s="116"/>
      <c r="V472" s="20">
        <f t="shared" si="279"/>
        <v>-1459</v>
      </c>
      <c r="W472" s="143"/>
    </row>
    <row r="473" spans="1:23" ht="15.75" customHeight="1">
      <c r="A473" s="114"/>
      <c r="B473" s="122"/>
      <c r="C473" s="123"/>
      <c r="D473" s="26">
        <f t="shared" si="273"/>
        <v>-1459</v>
      </c>
      <c r="E473" s="117"/>
      <c r="F473" s="117"/>
      <c r="G473" s="19">
        <f t="shared" si="274"/>
        <v>-1459</v>
      </c>
      <c r="H473" s="124"/>
      <c r="I473" s="123"/>
      <c r="J473" s="26">
        <f t="shared" si="275"/>
        <v>-1459</v>
      </c>
      <c r="K473" s="117"/>
      <c r="L473" s="117"/>
      <c r="M473" s="38">
        <f t="shared" si="276"/>
        <v>-1459</v>
      </c>
      <c r="N473" s="122"/>
      <c r="O473" s="123"/>
      <c r="P473" s="26">
        <f t="shared" si="277"/>
        <v>-1459</v>
      </c>
      <c r="Q473" s="117"/>
      <c r="R473" s="117"/>
      <c r="S473" s="38">
        <f t="shared" si="278"/>
        <v>-1459</v>
      </c>
      <c r="T473" s="122"/>
      <c r="U473" s="124"/>
      <c r="V473" s="20">
        <f t="shared" si="279"/>
        <v>-1459</v>
      </c>
      <c r="W473" s="143"/>
    </row>
    <row r="474" spans="1:23" ht="15.75" customHeight="1">
      <c r="A474" s="114"/>
      <c r="B474" s="122"/>
      <c r="C474" s="123"/>
      <c r="D474" s="39">
        <f t="shared" si="273"/>
        <v>-1459</v>
      </c>
      <c r="E474" s="128"/>
      <c r="F474" s="128"/>
      <c r="G474" s="55">
        <f t="shared" si="274"/>
        <v>-1459</v>
      </c>
      <c r="H474" s="124"/>
      <c r="I474" s="123"/>
      <c r="J474" s="39">
        <f t="shared" si="275"/>
        <v>-1459</v>
      </c>
      <c r="K474" s="128"/>
      <c r="L474" s="128"/>
      <c r="M474" s="40">
        <f t="shared" si="276"/>
        <v>-1459</v>
      </c>
      <c r="N474" s="122"/>
      <c r="O474" s="123"/>
      <c r="P474" s="39">
        <f t="shared" si="277"/>
        <v>-1459</v>
      </c>
      <c r="Q474" s="128"/>
      <c r="R474" s="128"/>
      <c r="S474" s="40">
        <f t="shared" si="278"/>
        <v>-1459</v>
      </c>
      <c r="T474" s="122"/>
      <c r="U474" s="123"/>
      <c r="V474" s="49">
        <f t="shared" si="279"/>
        <v>-1459</v>
      </c>
      <c r="W474" s="143"/>
    </row>
    <row r="475" spans="1:23" ht="15.75" customHeight="1">
      <c r="A475" s="87"/>
      <c r="B475" s="77">
        <f ca="1">IFERROR(__xludf.DUMMYFUNCTION("DATE(VALUE(LEFT($B$2,4)),VALUE(MID($B$2,6,2)),VALUE(RIGHT($B$2,2)))
+ (VALUE(REGEXEXTRACT(INDIRECT(""A""&amp;ROW()+1),""\d+""))-1)*7
+ INT((COLUMN()-COLUMN($B475))/3)
"),47762)</f>
        <v>47762</v>
      </c>
      <c r="C475" s="81"/>
      <c r="D475" s="82"/>
      <c r="E475" s="77">
        <f ca="1">IFERROR(__xludf.DUMMYFUNCTION("DATE(VALUE(LEFT($B$2,4)),VALUE(MID($B$2,6,2)),VALUE(RIGHT($B$2,2)))
+ (VALUE(REGEXEXTRACT(INDIRECT(""A""&amp;ROW()+1),""\d+""))-1)*7
+ INT((COLUMN()-COLUMN($B475))/3)
"),47763)</f>
        <v>47763</v>
      </c>
      <c r="F475" s="81"/>
      <c r="G475" s="82"/>
      <c r="H475" s="77">
        <f ca="1">IFERROR(__xludf.DUMMYFUNCTION("DATE(VALUE(LEFT($B$2,4)),VALUE(MID($B$2,6,2)),VALUE(RIGHT($B$2,2)))
+ (VALUE(REGEXEXTRACT(INDIRECT(""A""&amp;ROW()+1),""\d+""))-1)*7
+ INT((COLUMN()-COLUMN($B475))/3)
"),47764)</f>
        <v>47764</v>
      </c>
      <c r="I475" s="81"/>
      <c r="J475" s="82"/>
      <c r="K475" s="77">
        <f ca="1">IFERROR(__xludf.DUMMYFUNCTION("DATE(VALUE(LEFT($B$2,4)),VALUE(MID($B$2,6,2)),VALUE(RIGHT($B$2,2)))
+ (VALUE(REGEXEXTRACT(INDIRECT(""A""&amp;ROW()+1),""\d+""))-1)*7
+ INT((COLUMN()-COLUMN($B475))/3)
"),47765)</f>
        <v>47765</v>
      </c>
      <c r="L475" s="81"/>
      <c r="M475" s="82"/>
      <c r="N475" s="77">
        <f ca="1">IFERROR(__xludf.DUMMYFUNCTION("DATE(VALUE(LEFT($B$2,4)),VALUE(MID($B$2,6,2)),VALUE(RIGHT($B$2,2)))
+ (VALUE(REGEXEXTRACT(INDIRECT(""A""&amp;ROW()+1),""\d+""))-1)*7
+ INT((COLUMN()-COLUMN($B475))/3)
"),47766)</f>
        <v>47766</v>
      </c>
      <c r="O475" s="81"/>
      <c r="P475" s="82"/>
      <c r="Q475" s="77">
        <f ca="1">IFERROR(__xludf.DUMMYFUNCTION("DATE(VALUE(LEFT($B$2,4)),VALUE(MID($B$2,6,2)),VALUE(RIGHT($B$2,2)))
+ (VALUE(REGEXEXTRACT(INDIRECT(""A""&amp;ROW()+1),""\d+""))-1)*7
+ INT((COLUMN()-COLUMN($B475))/3)
"),47767)</f>
        <v>47767</v>
      </c>
      <c r="R475" s="81"/>
      <c r="S475" s="82"/>
      <c r="T475" s="77">
        <f ca="1">IFERROR(__xludf.DUMMYFUNCTION("DATE(VALUE(LEFT($B$2,4)),VALUE(MID($B$2,6,2)),VALUE(RIGHT($B$2,2)))
+ (VALUE(REGEXEXTRACT(INDIRECT(""A""&amp;ROW()+1),""\d+""))-1)*7
+ INT((COLUMN()-COLUMN($B475))/3)
"),47768)</f>
        <v>47768</v>
      </c>
      <c r="U475" s="81"/>
      <c r="V475" s="82"/>
      <c r="W475" s="52" t="s">
        <v>20</v>
      </c>
    </row>
    <row r="476" spans="1:23" ht="15.75" customHeight="1">
      <c r="A476" s="47" t="s">
        <v>169</v>
      </c>
      <c r="B476" s="113"/>
      <c r="C476" s="109"/>
      <c r="D476" s="42">
        <f>V474+C476</f>
        <v>-1459</v>
      </c>
      <c r="E476" s="112"/>
      <c r="F476" s="111"/>
      <c r="G476" s="36">
        <f>D486+F476</f>
        <v>-1459</v>
      </c>
      <c r="H476" s="132"/>
      <c r="I476" s="109"/>
      <c r="J476" s="42">
        <f>G486+I476</f>
        <v>-1459</v>
      </c>
      <c r="K476" s="112"/>
      <c r="L476" s="111"/>
      <c r="M476" s="18">
        <f>J486+L476</f>
        <v>-1459</v>
      </c>
      <c r="N476" s="113"/>
      <c r="O476" s="109"/>
      <c r="P476" s="35">
        <f>M486+O476</f>
        <v>-1459</v>
      </c>
      <c r="Q476" s="112"/>
      <c r="R476" s="111"/>
      <c r="S476" s="18">
        <f>P486+R476</f>
        <v>-1459</v>
      </c>
      <c r="T476" s="173"/>
      <c r="U476" s="173"/>
      <c r="V476" s="50">
        <f>S486+U476</f>
        <v>-1459</v>
      </c>
      <c r="W476" s="172"/>
    </row>
    <row r="477" spans="1:23" ht="15.75" customHeight="1">
      <c r="A477" s="114"/>
      <c r="B477" s="118"/>
      <c r="C477" s="117"/>
      <c r="D477" s="19">
        <f t="shared" ref="D477:D486" si="280">D476+C477</f>
        <v>-1459</v>
      </c>
      <c r="E477" s="106"/>
      <c r="F477" s="107"/>
      <c r="G477" s="26">
        <f t="shared" ref="G477:G486" si="281">G476+F477</f>
        <v>-1459</v>
      </c>
      <c r="H477" s="133"/>
      <c r="I477" s="117"/>
      <c r="J477" s="19">
        <f t="shared" ref="J477:J486" si="282">J476+I477</f>
        <v>-1459</v>
      </c>
      <c r="K477" s="106"/>
      <c r="L477" s="107"/>
      <c r="M477" s="26">
        <f t="shared" ref="M477:M486" si="283">M476+L477</f>
        <v>-1459</v>
      </c>
      <c r="N477" s="118"/>
      <c r="O477" s="117"/>
      <c r="P477" s="38">
        <f t="shared" ref="P477:P486" si="284">P476+O477</f>
        <v>-1459</v>
      </c>
      <c r="Q477" s="106"/>
      <c r="R477" s="107"/>
      <c r="S477" s="26">
        <f t="shared" ref="S477:S486" si="285">S476+R477</f>
        <v>-1459</v>
      </c>
      <c r="T477" s="136"/>
      <c r="U477" s="136"/>
      <c r="V477" s="45">
        <f t="shared" ref="V477:V486" si="286">V476+U477</f>
        <v>-1459</v>
      </c>
      <c r="W477" s="143"/>
    </row>
    <row r="478" spans="1:23" ht="15.75" customHeight="1">
      <c r="A478" s="114"/>
      <c r="B478" s="118"/>
      <c r="C478" s="117"/>
      <c r="D478" s="19">
        <f t="shared" si="280"/>
        <v>-1459</v>
      </c>
      <c r="E478" s="106"/>
      <c r="F478" s="107"/>
      <c r="G478" s="26">
        <f t="shared" si="281"/>
        <v>-1459</v>
      </c>
      <c r="H478" s="133"/>
      <c r="I478" s="117"/>
      <c r="J478" s="19">
        <f t="shared" si="282"/>
        <v>-1459</v>
      </c>
      <c r="K478" s="106"/>
      <c r="L478" s="107"/>
      <c r="M478" s="26">
        <f t="shared" si="283"/>
        <v>-1459</v>
      </c>
      <c r="N478" s="117"/>
      <c r="O478" s="117"/>
      <c r="P478" s="38">
        <f t="shared" si="284"/>
        <v>-1459</v>
      </c>
      <c r="Q478" s="106"/>
      <c r="R478" s="107"/>
      <c r="S478" s="26">
        <f t="shared" si="285"/>
        <v>-1459</v>
      </c>
      <c r="T478" s="136"/>
      <c r="U478" s="136"/>
      <c r="V478" s="45">
        <f t="shared" si="286"/>
        <v>-1459</v>
      </c>
      <c r="W478" s="143"/>
    </row>
    <row r="479" spans="1:23" ht="15.75" customHeight="1">
      <c r="A479" s="114"/>
      <c r="B479" s="118"/>
      <c r="C479" s="117"/>
      <c r="D479" s="19">
        <f t="shared" si="280"/>
        <v>-1459</v>
      </c>
      <c r="E479" s="106"/>
      <c r="F479" s="107"/>
      <c r="G479" s="26">
        <f t="shared" si="281"/>
        <v>-1459</v>
      </c>
      <c r="H479" s="133"/>
      <c r="I479" s="117"/>
      <c r="J479" s="19">
        <f t="shared" si="282"/>
        <v>-1459</v>
      </c>
      <c r="K479" s="106"/>
      <c r="L479" s="107"/>
      <c r="M479" s="26">
        <f t="shared" si="283"/>
        <v>-1459</v>
      </c>
      <c r="N479" s="117"/>
      <c r="O479" s="117"/>
      <c r="P479" s="38">
        <f t="shared" si="284"/>
        <v>-1459</v>
      </c>
      <c r="Q479" s="106"/>
      <c r="R479" s="107"/>
      <c r="S479" s="26">
        <f t="shared" si="285"/>
        <v>-1459</v>
      </c>
      <c r="T479" s="136"/>
      <c r="U479" s="136"/>
      <c r="V479" s="45">
        <f t="shared" si="286"/>
        <v>-1459</v>
      </c>
      <c r="W479" s="143"/>
    </row>
    <row r="480" spans="1:23" ht="15.75" customHeight="1">
      <c r="A480" s="114"/>
      <c r="B480" s="118"/>
      <c r="C480" s="117"/>
      <c r="D480" s="19">
        <f t="shared" si="280"/>
        <v>-1459</v>
      </c>
      <c r="E480" s="106"/>
      <c r="F480" s="107"/>
      <c r="G480" s="26">
        <f t="shared" si="281"/>
        <v>-1459</v>
      </c>
      <c r="H480" s="133"/>
      <c r="I480" s="117"/>
      <c r="J480" s="19">
        <f t="shared" si="282"/>
        <v>-1459</v>
      </c>
      <c r="K480" s="106"/>
      <c r="L480" s="107"/>
      <c r="M480" s="26">
        <f t="shared" si="283"/>
        <v>-1459</v>
      </c>
      <c r="N480" s="117"/>
      <c r="O480" s="117"/>
      <c r="P480" s="38">
        <f t="shared" si="284"/>
        <v>-1459</v>
      </c>
      <c r="Q480" s="106"/>
      <c r="R480" s="107"/>
      <c r="S480" s="26">
        <f t="shared" si="285"/>
        <v>-1459</v>
      </c>
      <c r="T480" s="136"/>
      <c r="U480" s="136"/>
      <c r="V480" s="45">
        <f t="shared" si="286"/>
        <v>-1459</v>
      </c>
      <c r="W480" s="143"/>
    </row>
    <row r="481" spans="1:23" ht="15.75" customHeight="1">
      <c r="A481" s="114"/>
      <c r="B481" s="118"/>
      <c r="C481" s="117"/>
      <c r="D481" s="19">
        <f t="shared" si="280"/>
        <v>-1459</v>
      </c>
      <c r="E481" s="106"/>
      <c r="F481" s="107"/>
      <c r="G481" s="26">
        <f t="shared" si="281"/>
        <v>-1459</v>
      </c>
      <c r="H481" s="133"/>
      <c r="I481" s="117"/>
      <c r="J481" s="19">
        <f t="shared" si="282"/>
        <v>-1459</v>
      </c>
      <c r="K481" s="106"/>
      <c r="L481" s="107"/>
      <c r="M481" s="26">
        <f t="shared" si="283"/>
        <v>-1459</v>
      </c>
      <c r="N481" s="117"/>
      <c r="O481" s="117"/>
      <c r="P481" s="38">
        <f t="shared" si="284"/>
        <v>-1459</v>
      </c>
      <c r="Q481" s="106"/>
      <c r="R481" s="107"/>
      <c r="S481" s="26">
        <f t="shared" si="285"/>
        <v>-1459</v>
      </c>
      <c r="T481" s="136"/>
      <c r="U481" s="136"/>
      <c r="V481" s="45">
        <f t="shared" si="286"/>
        <v>-1459</v>
      </c>
      <c r="W481" s="143"/>
    </row>
    <row r="482" spans="1:23" ht="15.75" customHeight="1">
      <c r="A482" s="114"/>
      <c r="B482" s="117"/>
      <c r="C482" s="117"/>
      <c r="D482" s="19">
        <f t="shared" si="280"/>
        <v>-1459</v>
      </c>
      <c r="E482" s="106"/>
      <c r="F482" s="107"/>
      <c r="G482" s="26">
        <f t="shared" si="281"/>
        <v>-1459</v>
      </c>
      <c r="H482" s="133"/>
      <c r="I482" s="117"/>
      <c r="J482" s="19">
        <f t="shared" si="282"/>
        <v>-1459</v>
      </c>
      <c r="K482" s="106"/>
      <c r="L482" s="107"/>
      <c r="M482" s="26">
        <f t="shared" si="283"/>
        <v>-1459</v>
      </c>
      <c r="N482" s="117"/>
      <c r="O482" s="117"/>
      <c r="P482" s="38">
        <f t="shared" si="284"/>
        <v>-1459</v>
      </c>
      <c r="Q482" s="106"/>
      <c r="R482" s="107"/>
      <c r="S482" s="26">
        <f t="shared" si="285"/>
        <v>-1459</v>
      </c>
      <c r="T482" s="136"/>
      <c r="U482" s="136"/>
      <c r="V482" s="45">
        <f t="shared" si="286"/>
        <v>-1459</v>
      </c>
      <c r="W482" s="143"/>
    </row>
    <row r="483" spans="1:23" ht="15.75" customHeight="1">
      <c r="A483" s="114"/>
      <c r="B483" s="117"/>
      <c r="C483" s="117"/>
      <c r="D483" s="19">
        <f t="shared" si="280"/>
        <v>-1459</v>
      </c>
      <c r="E483" s="106"/>
      <c r="F483" s="107"/>
      <c r="G483" s="26">
        <f t="shared" si="281"/>
        <v>-1459</v>
      </c>
      <c r="H483" s="133"/>
      <c r="I483" s="117"/>
      <c r="J483" s="19">
        <f t="shared" si="282"/>
        <v>-1459</v>
      </c>
      <c r="K483" s="106"/>
      <c r="L483" s="107"/>
      <c r="M483" s="26">
        <f t="shared" si="283"/>
        <v>-1459</v>
      </c>
      <c r="N483" s="117"/>
      <c r="O483" s="117"/>
      <c r="P483" s="38">
        <f t="shared" si="284"/>
        <v>-1459</v>
      </c>
      <c r="Q483" s="106"/>
      <c r="R483" s="107"/>
      <c r="S483" s="26">
        <f t="shared" si="285"/>
        <v>-1459</v>
      </c>
      <c r="T483" s="136"/>
      <c r="U483" s="136"/>
      <c r="V483" s="45">
        <f t="shared" si="286"/>
        <v>-1459</v>
      </c>
      <c r="W483" s="143"/>
    </row>
    <row r="484" spans="1:23" ht="15.75" customHeight="1">
      <c r="A484" s="114"/>
      <c r="B484" s="117"/>
      <c r="C484" s="117"/>
      <c r="D484" s="19">
        <f t="shared" si="280"/>
        <v>-1459</v>
      </c>
      <c r="E484" s="106"/>
      <c r="F484" s="107"/>
      <c r="G484" s="26">
        <f t="shared" si="281"/>
        <v>-1459</v>
      </c>
      <c r="H484" s="133"/>
      <c r="I484" s="117"/>
      <c r="J484" s="19">
        <f t="shared" si="282"/>
        <v>-1459</v>
      </c>
      <c r="K484" s="106"/>
      <c r="L484" s="107"/>
      <c r="M484" s="26">
        <f t="shared" si="283"/>
        <v>-1459</v>
      </c>
      <c r="N484" s="117"/>
      <c r="O484" s="117"/>
      <c r="P484" s="38">
        <f t="shared" si="284"/>
        <v>-1459</v>
      </c>
      <c r="Q484" s="106"/>
      <c r="R484" s="107"/>
      <c r="S484" s="26">
        <f t="shared" si="285"/>
        <v>-1459</v>
      </c>
      <c r="T484" s="136"/>
      <c r="U484" s="136"/>
      <c r="V484" s="45">
        <f t="shared" si="286"/>
        <v>-1459</v>
      </c>
      <c r="W484" s="143"/>
    </row>
    <row r="485" spans="1:23" ht="15.75" customHeight="1">
      <c r="A485" s="114"/>
      <c r="B485" s="117"/>
      <c r="C485" s="117"/>
      <c r="D485" s="19">
        <f t="shared" si="280"/>
        <v>-1459</v>
      </c>
      <c r="E485" s="122"/>
      <c r="F485" s="123"/>
      <c r="G485" s="26">
        <f t="shared" si="281"/>
        <v>-1459</v>
      </c>
      <c r="H485" s="133"/>
      <c r="I485" s="117"/>
      <c r="J485" s="19">
        <f t="shared" si="282"/>
        <v>-1459</v>
      </c>
      <c r="K485" s="122"/>
      <c r="L485" s="123"/>
      <c r="M485" s="26">
        <f t="shared" si="283"/>
        <v>-1459</v>
      </c>
      <c r="N485" s="117"/>
      <c r="O485" s="117"/>
      <c r="P485" s="38">
        <f t="shared" si="284"/>
        <v>-1459</v>
      </c>
      <c r="Q485" s="122"/>
      <c r="R485" s="123"/>
      <c r="S485" s="26">
        <f t="shared" si="285"/>
        <v>-1459</v>
      </c>
      <c r="T485" s="136"/>
      <c r="U485" s="136"/>
      <c r="V485" s="45">
        <f t="shared" si="286"/>
        <v>-1459</v>
      </c>
      <c r="W485" s="143"/>
    </row>
    <row r="486" spans="1:23" ht="15.75" customHeight="1">
      <c r="A486" s="114"/>
      <c r="B486" s="128"/>
      <c r="C486" s="128"/>
      <c r="D486" s="29">
        <f t="shared" si="280"/>
        <v>-1459</v>
      </c>
      <c r="E486" s="122"/>
      <c r="F486" s="123"/>
      <c r="G486" s="53">
        <f t="shared" si="281"/>
        <v>-1459</v>
      </c>
      <c r="H486" s="140"/>
      <c r="I486" s="128"/>
      <c r="J486" s="29">
        <f t="shared" si="282"/>
        <v>-1459</v>
      </c>
      <c r="K486" s="122"/>
      <c r="L486" s="123"/>
      <c r="M486" s="39">
        <f t="shared" si="283"/>
        <v>-1459</v>
      </c>
      <c r="N486" s="128"/>
      <c r="O486" s="128"/>
      <c r="P486" s="40">
        <f t="shared" si="284"/>
        <v>-1459</v>
      </c>
      <c r="Q486" s="122"/>
      <c r="R486" s="123"/>
      <c r="S486" s="39">
        <f t="shared" si="285"/>
        <v>-1459</v>
      </c>
      <c r="T486" s="141"/>
      <c r="U486" s="141"/>
      <c r="V486" s="46">
        <f t="shared" si="286"/>
        <v>-1459</v>
      </c>
      <c r="W486" s="143"/>
    </row>
    <row r="487" spans="1:23" ht="15.75" customHeight="1">
      <c r="A487" s="87"/>
      <c r="B487" s="77">
        <f ca="1">IFERROR(__xludf.DUMMYFUNCTION("DATE(VALUE(LEFT($B$2,4)),VALUE(MID($B$2,6,2)),VALUE(RIGHT($B$2,2)))
+ (VALUE(REGEXEXTRACT(INDIRECT(""A""&amp;ROW()+1),""\d+""))-1)*7
+ INT((COLUMN()-COLUMN($B487))/3)
"),47769)</f>
        <v>47769</v>
      </c>
      <c r="C487" s="81"/>
      <c r="D487" s="82"/>
      <c r="E487" s="77">
        <f ca="1">IFERROR(__xludf.DUMMYFUNCTION("DATE(VALUE(LEFT($B$2,4)),VALUE(MID($B$2,6,2)),VALUE(RIGHT($B$2,2)))
+ (VALUE(REGEXEXTRACT(INDIRECT(""A""&amp;ROW()+1),""\d+""))-1)*7
+ INT((COLUMN()-COLUMN($B487))/3)
"),47770)</f>
        <v>47770</v>
      </c>
      <c r="F487" s="81"/>
      <c r="G487" s="82"/>
      <c r="H487" s="77">
        <f ca="1">IFERROR(__xludf.DUMMYFUNCTION("DATE(VALUE(LEFT($B$2,4)),VALUE(MID($B$2,6,2)),VALUE(RIGHT($B$2,2)))
+ (VALUE(REGEXEXTRACT(INDIRECT(""A""&amp;ROW()+1),""\d+""))-1)*7
+ INT((COLUMN()-COLUMN($B487))/3)
"),47771)</f>
        <v>47771</v>
      </c>
      <c r="I487" s="81"/>
      <c r="J487" s="82"/>
      <c r="K487" s="77">
        <f ca="1">IFERROR(__xludf.DUMMYFUNCTION("DATE(VALUE(LEFT($B$2,4)),VALUE(MID($B$2,6,2)),VALUE(RIGHT($B$2,2)))
+ (VALUE(REGEXEXTRACT(INDIRECT(""A""&amp;ROW()+1),""\d+""))-1)*7
+ INT((COLUMN()-COLUMN($B487))/3)
"),47772)</f>
        <v>47772</v>
      </c>
      <c r="L487" s="81"/>
      <c r="M487" s="82"/>
      <c r="N487" s="77">
        <f ca="1">IFERROR(__xludf.DUMMYFUNCTION("DATE(VALUE(LEFT($B$2,4)),VALUE(MID($B$2,6,2)),VALUE(RIGHT($B$2,2)))
+ (VALUE(REGEXEXTRACT(INDIRECT(""A""&amp;ROW()+1),""\d+""))-1)*7
+ INT((COLUMN()-COLUMN($B487))/3)
"),47773)</f>
        <v>47773</v>
      </c>
      <c r="O487" s="81"/>
      <c r="P487" s="82"/>
      <c r="Q487" s="77">
        <f ca="1">IFERROR(__xludf.DUMMYFUNCTION("DATE(VALUE(LEFT($B$2,4)),VALUE(MID($B$2,6,2)),VALUE(RIGHT($B$2,2)))
+ (VALUE(REGEXEXTRACT(INDIRECT(""A""&amp;ROW()+1),""\d+""))-1)*7
+ INT((COLUMN()-COLUMN($B487))/3)
"),47774)</f>
        <v>47774</v>
      </c>
      <c r="R487" s="81"/>
      <c r="S487" s="82"/>
      <c r="T487" s="77">
        <f ca="1">IFERROR(__xludf.DUMMYFUNCTION("DATE(VALUE(LEFT($B$2,4)),VALUE(MID($B$2,6,2)),VALUE(RIGHT($B$2,2)))
+ (VALUE(REGEXEXTRACT(INDIRECT(""A""&amp;ROW()+1),""\d+""))-1)*7
+ INT((COLUMN()-COLUMN($B487))/3)
"),47775)</f>
        <v>47775</v>
      </c>
      <c r="U487" s="81"/>
      <c r="V487" s="82"/>
      <c r="W487" s="143"/>
    </row>
    <row r="488" spans="1:23" ht="15.75" customHeight="1">
      <c r="A488" s="51" t="s">
        <v>170</v>
      </c>
      <c r="B488" s="112"/>
      <c r="C488" s="111"/>
      <c r="D488" s="17">
        <f>V486+C488</f>
        <v>-1459</v>
      </c>
      <c r="E488" s="109"/>
      <c r="F488" s="109"/>
      <c r="G488" s="42">
        <f>D498+F488</f>
        <v>-1459</v>
      </c>
      <c r="H488" s="112"/>
      <c r="I488" s="111"/>
      <c r="J488" s="17">
        <f>G498+I488</f>
        <v>-1459</v>
      </c>
      <c r="K488" s="109"/>
      <c r="L488" s="109"/>
      <c r="M488" s="35">
        <f>J498+L488</f>
        <v>-1459</v>
      </c>
      <c r="N488" s="112"/>
      <c r="O488" s="111"/>
      <c r="P488" s="17">
        <f>M498+O488</f>
        <v>-1459</v>
      </c>
      <c r="Q488" s="109"/>
      <c r="R488" s="109"/>
      <c r="S488" s="35">
        <f>P498+R488</f>
        <v>-1459</v>
      </c>
      <c r="T488" s="112"/>
      <c r="U488" s="111"/>
      <c r="V488" s="48">
        <f>S498+U488</f>
        <v>-1459</v>
      </c>
      <c r="W488" s="143"/>
    </row>
    <row r="489" spans="1:23" ht="15.75" customHeight="1">
      <c r="A489" s="114"/>
      <c r="B489" s="106"/>
      <c r="C489" s="107"/>
      <c r="D489" s="26">
        <f t="shared" ref="D489:D498" si="287">D488+C489</f>
        <v>-1459</v>
      </c>
      <c r="E489" s="117"/>
      <c r="F489" s="117"/>
      <c r="G489" s="19">
        <f t="shared" ref="G489:G498" si="288">G488+F489</f>
        <v>-1459</v>
      </c>
      <c r="H489" s="106"/>
      <c r="I489" s="107"/>
      <c r="J489" s="26">
        <f t="shared" ref="J489:J498" si="289">J488+I489</f>
        <v>-1459</v>
      </c>
      <c r="K489" s="117"/>
      <c r="L489" s="117"/>
      <c r="M489" s="38">
        <f t="shared" ref="M489:M498" si="290">M488+L489</f>
        <v>-1459</v>
      </c>
      <c r="N489" s="106"/>
      <c r="O489" s="107"/>
      <c r="P489" s="26">
        <f t="shared" ref="P489:P498" si="291">P488+O489</f>
        <v>-1459</v>
      </c>
      <c r="Q489" s="117"/>
      <c r="R489" s="117"/>
      <c r="S489" s="38">
        <f t="shared" ref="S489:S498" si="292">S488+R489</f>
        <v>-1459</v>
      </c>
      <c r="T489" s="106"/>
      <c r="U489" s="107"/>
      <c r="V489" s="20">
        <f t="shared" ref="V489:V498" si="293">V488+U489</f>
        <v>-1459</v>
      </c>
      <c r="W489" s="143"/>
    </row>
    <row r="490" spans="1:23" ht="15.75" customHeight="1">
      <c r="A490" s="114"/>
      <c r="B490" s="106"/>
      <c r="C490" s="107"/>
      <c r="D490" s="26">
        <f t="shared" si="287"/>
        <v>-1459</v>
      </c>
      <c r="E490" s="117"/>
      <c r="F490" s="117"/>
      <c r="G490" s="19">
        <f t="shared" si="288"/>
        <v>-1459</v>
      </c>
      <c r="H490" s="106"/>
      <c r="I490" s="107"/>
      <c r="J490" s="26">
        <f t="shared" si="289"/>
        <v>-1459</v>
      </c>
      <c r="K490" s="117"/>
      <c r="L490" s="117"/>
      <c r="M490" s="38">
        <f t="shared" si="290"/>
        <v>-1459</v>
      </c>
      <c r="N490" s="106"/>
      <c r="O490" s="107"/>
      <c r="P490" s="26">
        <f t="shared" si="291"/>
        <v>-1459</v>
      </c>
      <c r="Q490" s="117"/>
      <c r="R490" s="117"/>
      <c r="S490" s="38">
        <f t="shared" si="292"/>
        <v>-1459</v>
      </c>
      <c r="T490" s="106"/>
      <c r="U490" s="116"/>
      <c r="V490" s="20">
        <f t="shared" si="293"/>
        <v>-1459</v>
      </c>
      <c r="W490" s="143"/>
    </row>
    <row r="491" spans="1:23" ht="15.75" customHeight="1">
      <c r="A491" s="114"/>
      <c r="B491" s="106"/>
      <c r="C491" s="107"/>
      <c r="D491" s="26">
        <f t="shared" si="287"/>
        <v>-1459</v>
      </c>
      <c r="E491" s="117"/>
      <c r="F491" s="117"/>
      <c r="G491" s="19">
        <f t="shared" si="288"/>
        <v>-1459</v>
      </c>
      <c r="H491" s="106"/>
      <c r="I491" s="107"/>
      <c r="J491" s="26">
        <f t="shared" si="289"/>
        <v>-1459</v>
      </c>
      <c r="K491" s="117"/>
      <c r="L491" s="117"/>
      <c r="M491" s="38">
        <f t="shared" si="290"/>
        <v>-1459</v>
      </c>
      <c r="N491" s="106"/>
      <c r="O491" s="107"/>
      <c r="P491" s="26">
        <f t="shared" si="291"/>
        <v>-1459</v>
      </c>
      <c r="Q491" s="117"/>
      <c r="R491" s="117"/>
      <c r="S491" s="38">
        <f t="shared" si="292"/>
        <v>-1459</v>
      </c>
      <c r="T491" s="106"/>
      <c r="U491" s="116"/>
      <c r="V491" s="20">
        <f t="shared" si="293"/>
        <v>-1459</v>
      </c>
      <c r="W491" s="143"/>
    </row>
    <row r="492" spans="1:23" ht="15.75" customHeight="1">
      <c r="A492" s="114"/>
      <c r="B492" s="106"/>
      <c r="C492" s="107"/>
      <c r="D492" s="26">
        <f t="shared" si="287"/>
        <v>-1459</v>
      </c>
      <c r="E492" s="117"/>
      <c r="F492" s="117"/>
      <c r="G492" s="19">
        <f t="shared" si="288"/>
        <v>-1459</v>
      </c>
      <c r="H492" s="106"/>
      <c r="I492" s="107"/>
      <c r="J492" s="26">
        <f t="shared" si="289"/>
        <v>-1459</v>
      </c>
      <c r="K492" s="117"/>
      <c r="L492" s="117"/>
      <c r="M492" s="38">
        <f t="shared" si="290"/>
        <v>-1459</v>
      </c>
      <c r="N492" s="106"/>
      <c r="O492" s="107"/>
      <c r="P492" s="26">
        <f t="shared" si="291"/>
        <v>-1459</v>
      </c>
      <c r="Q492" s="117"/>
      <c r="R492" s="117"/>
      <c r="S492" s="38">
        <f t="shared" si="292"/>
        <v>-1459</v>
      </c>
      <c r="T492" s="106"/>
      <c r="U492" s="116"/>
      <c r="V492" s="20">
        <f t="shared" si="293"/>
        <v>-1459</v>
      </c>
      <c r="W492" s="143"/>
    </row>
    <row r="493" spans="1:23" ht="15.75" customHeight="1">
      <c r="A493" s="114"/>
      <c r="B493" s="106"/>
      <c r="C493" s="107"/>
      <c r="D493" s="26">
        <f t="shared" si="287"/>
        <v>-1459</v>
      </c>
      <c r="E493" s="117"/>
      <c r="F493" s="117"/>
      <c r="G493" s="19">
        <f t="shared" si="288"/>
        <v>-1459</v>
      </c>
      <c r="H493" s="106"/>
      <c r="I493" s="107"/>
      <c r="J493" s="26">
        <f t="shared" si="289"/>
        <v>-1459</v>
      </c>
      <c r="K493" s="117"/>
      <c r="L493" s="117"/>
      <c r="M493" s="38">
        <f t="shared" si="290"/>
        <v>-1459</v>
      </c>
      <c r="N493" s="106"/>
      <c r="O493" s="107"/>
      <c r="P493" s="26">
        <f t="shared" si="291"/>
        <v>-1459</v>
      </c>
      <c r="Q493" s="117"/>
      <c r="R493" s="117"/>
      <c r="S493" s="38">
        <f t="shared" si="292"/>
        <v>-1459</v>
      </c>
      <c r="T493" s="106"/>
      <c r="U493" s="116"/>
      <c r="V493" s="20">
        <f t="shared" si="293"/>
        <v>-1459</v>
      </c>
      <c r="W493" s="143"/>
    </row>
    <row r="494" spans="1:23" ht="15.75" customHeight="1">
      <c r="A494" s="114"/>
      <c r="B494" s="106"/>
      <c r="C494" s="107"/>
      <c r="D494" s="26">
        <f t="shared" si="287"/>
        <v>-1459</v>
      </c>
      <c r="E494" s="117"/>
      <c r="F494" s="117"/>
      <c r="G494" s="19">
        <f t="shared" si="288"/>
        <v>-1459</v>
      </c>
      <c r="H494" s="106"/>
      <c r="I494" s="107"/>
      <c r="J494" s="26">
        <f t="shared" si="289"/>
        <v>-1459</v>
      </c>
      <c r="K494" s="117"/>
      <c r="L494" s="117"/>
      <c r="M494" s="38">
        <f t="shared" si="290"/>
        <v>-1459</v>
      </c>
      <c r="N494" s="106"/>
      <c r="O494" s="107"/>
      <c r="P494" s="26">
        <f t="shared" si="291"/>
        <v>-1459</v>
      </c>
      <c r="Q494" s="117"/>
      <c r="R494" s="117"/>
      <c r="S494" s="38">
        <f t="shared" si="292"/>
        <v>-1459</v>
      </c>
      <c r="T494" s="106"/>
      <c r="U494" s="116"/>
      <c r="V494" s="20">
        <f t="shared" si="293"/>
        <v>-1459</v>
      </c>
      <c r="W494" s="143"/>
    </row>
    <row r="495" spans="1:23" ht="15.75" customHeight="1">
      <c r="A495" s="114"/>
      <c r="B495" s="106"/>
      <c r="C495" s="107"/>
      <c r="D495" s="26">
        <f t="shared" si="287"/>
        <v>-1459</v>
      </c>
      <c r="E495" s="117"/>
      <c r="F495" s="117"/>
      <c r="G495" s="19">
        <f t="shared" si="288"/>
        <v>-1459</v>
      </c>
      <c r="H495" s="106"/>
      <c r="I495" s="107"/>
      <c r="J495" s="26">
        <f t="shared" si="289"/>
        <v>-1459</v>
      </c>
      <c r="K495" s="117"/>
      <c r="L495" s="117"/>
      <c r="M495" s="38">
        <f t="shared" si="290"/>
        <v>-1459</v>
      </c>
      <c r="N495" s="106"/>
      <c r="O495" s="107"/>
      <c r="P495" s="26">
        <f t="shared" si="291"/>
        <v>-1459</v>
      </c>
      <c r="Q495" s="117"/>
      <c r="R495" s="117"/>
      <c r="S495" s="38">
        <f t="shared" si="292"/>
        <v>-1459</v>
      </c>
      <c r="T495" s="106"/>
      <c r="U495" s="116"/>
      <c r="V495" s="20">
        <f t="shared" si="293"/>
        <v>-1459</v>
      </c>
      <c r="W495" s="143"/>
    </row>
    <row r="496" spans="1:23" ht="15.75" customHeight="1">
      <c r="A496" s="114"/>
      <c r="B496" s="106"/>
      <c r="C496" s="107"/>
      <c r="D496" s="26">
        <f t="shared" si="287"/>
        <v>-1459</v>
      </c>
      <c r="E496" s="117"/>
      <c r="F496" s="117"/>
      <c r="G496" s="19">
        <f t="shared" si="288"/>
        <v>-1459</v>
      </c>
      <c r="H496" s="122"/>
      <c r="I496" s="123"/>
      <c r="J496" s="26">
        <f t="shared" si="289"/>
        <v>-1459</v>
      </c>
      <c r="K496" s="117"/>
      <c r="L496" s="117"/>
      <c r="M496" s="38">
        <f t="shared" si="290"/>
        <v>-1459</v>
      </c>
      <c r="N496" s="122"/>
      <c r="O496" s="123"/>
      <c r="P496" s="26">
        <f t="shared" si="291"/>
        <v>-1459</v>
      </c>
      <c r="Q496" s="117"/>
      <c r="R496" s="117"/>
      <c r="S496" s="38">
        <f t="shared" si="292"/>
        <v>-1459</v>
      </c>
      <c r="T496" s="106"/>
      <c r="U496" s="116"/>
      <c r="V496" s="20">
        <f t="shared" si="293"/>
        <v>-1459</v>
      </c>
      <c r="W496" s="143"/>
    </row>
    <row r="497" spans="1:23" ht="15.75" customHeight="1">
      <c r="A497" s="114"/>
      <c r="B497" s="106"/>
      <c r="C497" s="107"/>
      <c r="D497" s="26">
        <f t="shared" si="287"/>
        <v>-1459</v>
      </c>
      <c r="E497" s="117"/>
      <c r="F497" s="117"/>
      <c r="G497" s="19">
        <f t="shared" si="288"/>
        <v>-1459</v>
      </c>
      <c r="H497" s="122"/>
      <c r="I497" s="123"/>
      <c r="J497" s="26">
        <f t="shared" si="289"/>
        <v>-1459</v>
      </c>
      <c r="K497" s="117"/>
      <c r="L497" s="117"/>
      <c r="M497" s="38">
        <f t="shared" si="290"/>
        <v>-1459</v>
      </c>
      <c r="N497" s="122"/>
      <c r="O497" s="123"/>
      <c r="P497" s="26">
        <f t="shared" si="291"/>
        <v>-1459</v>
      </c>
      <c r="Q497" s="117"/>
      <c r="R497" s="117"/>
      <c r="S497" s="38">
        <f t="shared" si="292"/>
        <v>-1459</v>
      </c>
      <c r="T497" s="122"/>
      <c r="U497" s="124"/>
      <c r="V497" s="20">
        <f t="shared" si="293"/>
        <v>-1459</v>
      </c>
      <c r="W497" s="143"/>
    </row>
    <row r="498" spans="1:23" ht="15.75" customHeight="1">
      <c r="A498" s="114"/>
      <c r="B498" s="122"/>
      <c r="C498" s="123"/>
      <c r="D498" s="39">
        <f t="shared" si="287"/>
        <v>-1459</v>
      </c>
      <c r="E498" s="128"/>
      <c r="F498" s="128"/>
      <c r="G498" s="29">
        <f t="shared" si="288"/>
        <v>-1459</v>
      </c>
      <c r="H498" s="122"/>
      <c r="I498" s="123"/>
      <c r="J498" s="39">
        <f t="shared" si="289"/>
        <v>-1459</v>
      </c>
      <c r="K498" s="128"/>
      <c r="L498" s="128"/>
      <c r="M498" s="40">
        <f t="shared" si="290"/>
        <v>-1459</v>
      </c>
      <c r="N498" s="122"/>
      <c r="O498" s="123"/>
      <c r="P498" s="39">
        <f t="shared" si="291"/>
        <v>-1459</v>
      </c>
      <c r="Q498" s="128"/>
      <c r="R498" s="128"/>
      <c r="S498" s="40">
        <f t="shared" si="292"/>
        <v>-1459</v>
      </c>
      <c r="T498" s="122"/>
      <c r="U498" s="123"/>
      <c r="V498" s="49">
        <f t="shared" si="293"/>
        <v>-1459</v>
      </c>
      <c r="W498" s="143"/>
    </row>
    <row r="499" spans="1:23" ht="15.75" customHeight="1">
      <c r="A499" s="87"/>
      <c r="B499" s="77">
        <f ca="1">IFERROR(__xludf.DUMMYFUNCTION("DATE(VALUE(LEFT($B$2,4)),VALUE(MID($B$2,6,2)),VALUE(RIGHT($B$2,2)))
+ (VALUE(REGEXEXTRACT(INDIRECT(""A""&amp;ROW()+1),""\d+""))-1)*7
+ INT((COLUMN()-COLUMN($B499))/3)
"),47776)</f>
        <v>47776</v>
      </c>
      <c r="C499" s="81"/>
      <c r="D499" s="82"/>
      <c r="E499" s="77">
        <f ca="1">IFERROR(__xludf.DUMMYFUNCTION("DATE(VALUE(LEFT($B$2,4)),VALUE(MID($B$2,6,2)),VALUE(RIGHT($B$2,2)))
+ (VALUE(REGEXEXTRACT(INDIRECT(""A""&amp;ROW()+1),""\d+""))-1)*7
+ INT((COLUMN()-COLUMN($B499))/3)
"),47777)</f>
        <v>47777</v>
      </c>
      <c r="F499" s="81"/>
      <c r="G499" s="82"/>
      <c r="H499" s="77">
        <f ca="1">IFERROR(__xludf.DUMMYFUNCTION("DATE(VALUE(LEFT($B$2,4)),VALUE(MID($B$2,6,2)),VALUE(RIGHT($B$2,2)))
+ (VALUE(REGEXEXTRACT(INDIRECT(""A""&amp;ROW()+1),""\d+""))-1)*7
+ INT((COLUMN()-COLUMN($B499))/3)
"),47778)</f>
        <v>47778</v>
      </c>
      <c r="I499" s="81"/>
      <c r="J499" s="82"/>
      <c r="K499" s="77">
        <f ca="1">IFERROR(__xludf.DUMMYFUNCTION("DATE(VALUE(LEFT($B$2,4)),VALUE(MID($B$2,6,2)),VALUE(RIGHT($B$2,2)))
+ (VALUE(REGEXEXTRACT(INDIRECT(""A""&amp;ROW()+1),""\d+""))-1)*7
+ INT((COLUMN()-COLUMN($B499))/3)
"),47779)</f>
        <v>47779</v>
      </c>
      <c r="L499" s="81"/>
      <c r="M499" s="82"/>
      <c r="N499" s="77">
        <f ca="1">IFERROR(__xludf.DUMMYFUNCTION("DATE(VALUE(LEFT($B$2,4)),VALUE(MID($B$2,6,2)),VALUE(RIGHT($B$2,2)))
+ (VALUE(REGEXEXTRACT(INDIRECT(""A""&amp;ROW()+1),""\d+""))-1)*7
+ INT((COLUMN()-COLUMN($B499))/3)
"),47780)</f>
        <v>47780</v>
      </c>
      <c r="O499" s="81"/>
      <c r="P499" s="82"/>
      <c r="Q499" s="77">
        <f ca="1">IFERROR(__xludf.DUMMYFUNCTION("DATE(VALUE(LEFT($B$2,4)),VALUE(MID($B$2,6,2)),VALUE(RIGHT($B$2,2)))
+ (VALUE(REGEXEXTRACT(INDIRECT(""A""&amp;ROW()+1),""\d+""))-1)*7
+ INT((COLUMN()-COLUMN($B499))/3)
"),47781)</f>
        <v>47781</v>
      </c>
      <c r="R499" s="81"/>
      <c r="S499" s="82"/>
      <c r="T499" s="77">
        <f ca="1">IFERROR(__xludf.DUMMYFUNCTION("DATE(VALUE(LEFT($B$2,4)),VALUE(MID($B$2,6,2)),VALUE(RIGHT($B$2,2)))
+ (VALUE(REGEXEXTRACT(INDIRECT(""A""&amp;ROW()+1),""\d+""))-1)*7
+ INT((COLUMN()-COLUMN($B499))/3)
"),47782)</f>
        <v>47782</v>
      </c>
      <c r="U499" s="81"/>
      <c r="V499" s="82"/>
      <c r="W499" s="52" t="s">
        <v>20</v>
      </c>
    </row>
    <row r="500" spans="1:23" ht="15.75" customHeight="1">
      <c r="A500" s="47" t="s">
        <v>171</v>
      </c>
      <c r="B500" s="113"/>
      <c r="C500" s="109"/>
      <c r="D500" s="42">
        <f>V498+C500</f>
        <v>-1459</v>
      </c>
      <c r="E500" s="112"/>
      <c r="F500" s="111"/>
      <c r="G500" s="36">
        <f>D510+F500</f>
        <v>-1459</v>
      </c>
      <c r="H500" s="132"/>
      <c r="I500" s="109"/>
      <c r="J500" s="42">
        <f>G510+I500</f>
        <v>-1459</v>
      </c>
      <c r="K500" s="112"/>
      <c r="L500" s="111"/>
      <c r="M500" s="18">
        <f>J510+L500</f>
        <v>-1459</v>
      </c>
      <c r="N500" s="113"/>
      <c r="O500" s="109"/>
      <c r="P500" s="35">
        <f>M510+O500</f>
        <v>-1459</v>
      </c>
      <c r="Q500" s="112"/>
      <c r="R500" s="111"/>
      <c r="S500" s="18">
        <f>P510+R500</f>
        <v>-1459</v>
      </c>
      <c r="T500" s="173"/>
      <c r="U500" s="173"/>
      <c r="V500" s="50">
        <f>S510+U500</f>
        <v>-1459</v>
      </c>
      <c r="W500" s="172"/>
    </row>
    <row r="501" spans="1:23" ht="15.75" customHeight="1">
      <c r="A501" s="114"/>
      <c r="B501" s="118"/>
      <c r="C501" s="117"/>
      <c r="D501" s="19">
        <f t="shared" ref="D501:D510" si="294">D500+C501</f>
        <v>-1459</v>
      </c>
      <c r="E501" s="106"/>
      <c r="F501" s="107"/>
      <c r="G501" s="26">
        <f t="shared" ref="G501:G510" si="295">G500+F501</f>
        <v>-1459</v>
      </c>
      <c r="H501" s="133"/>
      <c r="I501" s="117"/>
      <c r="J501" s="19">
        <f t="shared" ref="J501:J510" si="296">J500+I501</f>
        <v>-1459</v>
      </c>
      <c r="K501" s="106"/>
      <c r="L501" s="107"/>
      <c r="M501" s="26">
        <f t="shared" ref="M501:M510" si="297">M500+L501</f>
        <v>-1459</v>
      </c>
      <c r="N501" s="118"/>
      <c r="O501" s="117"/>
      <c r="P501" s="38">
        <f t="shared" ref="P501:P510" si="298">P500+O501</f>
        <v>-1459</v>
      </c>
      <c r="Q501" s="106"/>
      <c r="R501" s="107"/>
      <c r="S501" s="26">
        <f t="shared" ref="S501:S510" si="299">S500+R501</f>
        <v>-1459</v>
      </c>
      <c r="T501" s="136"/>
      <c r="U501" s="136"/>
      <c r="V501" s="45">
        <f t="shared" ref="V501:V510" si="300">V500+U501</f>
        <v>-1459</v>
      </c>
      <c r="W501" s="143"/>
    </row>
    <row r="502" spans="1:23" ht="15.75" customHeight="1">
      <c r="A502" s="114"/>
      <c r="B502" s="118"/>
      <c r="C502" s="117"/>
      <c r="D502" s="19">
        <f t="shared" si="294"/>
        <v>-1459</v>
      </c>
      <c r="E502" s="106"/>
      <c r="F502" s="107"/>
      <c r="G502" s="26">
        <f t="shared" si="295"/>
        <v>-1459</v>
      </c>
      <c r="H502" s="133"/>
      <c r="I502" s="117"/>
      <c r="J502" s="19">
        <f t="shared" si="296"/>
        <v>-1459</v>
      </c>
      <c r="K502" s="106"/>
      <c r="L502" s="107"/>
      <c r="M502" s="26">
        <f t="shared" si="297"/>
        <v>-1459</v>
      </c>
      <c r="N502" s="117"/>
      <c r="O502" s="117"/>
      <c r="P502" s="38">
        <f t="shared" si="298"/>
        <v>-1459</v>
      </c>
      <c r="Q502" s="106"/>
      <c r="R502" s="107"/>
      <c r="S502" s="26">
        <f t="shared" si="299"/>
        <v>-1459</v>
      </c>
      <c r="T502" s="136"/>
      <c r="U502" s="136"/>
      <c r="V502" s="45">
        <f t="shared" si="300"/>
        <v>-1459</v>
      </c>
      <c r="W502" s="143"/>
    </row>
    <row r="503" spans="1:23" ht="15.75" customHeight="1">
      <c r="A503" s="114"/>
      <c r="B503" s="118"/>
      <c r="C503" s="117"/>
      <c r="D503" s="19">
        <f t="shared" si="294"/>
        <v>-1459</v>
      </c>
      <c r="E503" s="106"/>
      <c r="F503" s="107"/>
      <c r="G503" s="26">
        <f t="shared" si="295"/>
        <v>-1459</v>
      </c>
      <c r="H503" s="133"/>
      <c r="I503" s="117"/>
      <c r="J503" s="19">
        <f t="shared" si="296"/>
        <v>-1459</v>
      </c>
      <c r="K503" s="106"/>
      <c r="L503" s="107"/>
      <c r="M503" s="26">
        <f t="shared" si="297"/>
        <v>-1459</v>
      </c>
      <c r="N503" s="117"/>
      <c r="O503" s="117"/>
      <c r="P503" s="38">
        <f t="shared" si="298"/>
        <v>-1459</v>
      </c>
      <c r="Q503" s="106"/>
      <c r="R503" s="107"/>
      <c r="S503" s="26">
        <f t="shared" si="299"/>
        <v>-1459</v>
      </c>
      <c r="T503" s="136"/>
      <c r="U503" s="136"/>
      <c r="V503" s="45">
        <f t="shared" si="300"/>
        <v>-1459</v>
      </c>
      <c r="W503" s="143"/>
    </row>
    <row r="504" spans="1:23" ht="15.75" customHeight="1">
      <c r="A504" s="114"/>
      <c r="B504" s="118"/>
      <c r="C504" s="117"/>
      <c r="D504" s="19">
        <f t="shared" si="294"/>
        <v>-1459</v>
      </c>
      <c r="E504" s="106"/>
      <c r="F504" s="107"/>
      <c r="G504" s="26">
        <f t="shared" si="295"/>
        <v>-1459</v>
      </c>
      <c r="H504" s="133"/>
      <c r="I504" s="117"/>
      <c r="J504" s="19">
        <f t="shared" si="296"/>
        <v>-1459</v>
      </c>
      <c r="K504" s="106"/>
      <c r="L504" s="107"/>
      <c r="M504" s="26">
        <f t="shared" si="297"/>
        <v>-1459</v>
      </c>
      <c r="N504" s="117"/>
      <c r="O504" s="117"/>
      <c r="P504" s="38">
        <f t="shared" si="298"/>
        <v>-1459</v>
      </c>
      <c r="Q504" s="106"/>
      <c r="R504" s="107"/>
      <c r="S504" s="26">
        <f t="shared" si="299"/>
        <v>-1459</v>
      </c>
      <c r="T504" s="136"/>
      <c r="U504" s="136"/>
      <c r="V504" s="45">
        <f t="shared" si="300"/>
        <v>-1459</v>
      </c>
      <c r="W504" s="143"/>
    </row>
    <row r="505" spans="1:23" ht="15.75" customHeight="1">
      <c r="A505" s="114"/>
      <c r="B505" s="118"/>
      <c r="C505" s="117"/>
      <c r="D505" s="19">
        <f t="shared" si="294"/>
        <v>-1459</v>
      </c>
      <c r="E505" s="106"/>
      <c r="F505" s="107"/>
      <c r="G505" s="26">
        <f t="shared" si="295"/>
        <v>-1459</v>
      </c>
      <c r="H505" s="133"/>
      <c r="I505" s="117"/>
      <c r="J505" s="19">
        <f t="shared" si="296"/>
        <v>-1459</v>
      </c>
      <c r="K505" s="106"/>
      <c r="L505" s="107"/>
      <c r="M505" s="26">
        <f t="shared" si="297"/>
        <v>-1459</v>
      </c>
      <c r="N505" s="117"/>
      <c r="O505" s="117"/>
      <c r="P505" s="38">
        <f t="shared" si="298"/>
        <v>-1459</v>
      </c>
      <c r="Q505" s="106"/>
      <c r="R505" s="107"/>
      <c r="S505" s="26">
        <f t="shared" si="299"/>
        <v>-1459</v>
      </c>
      <c r="T505" s="136"/>
      <c r="U505" s="136"/>
      <c r="V505" s="45">
        <f t="shared" si="300"/>
        <v>-1459</v>
      </c>
      <c r="W505" s="143"/>
    </row>
    <row r="506" spans="1:23" ht="15.75" customHeight="1">
      <c r="A506" s="114"/>
      <c r="B506" s="117"/>
      <c r="C506" s="117"/>
      <c r="D506" s="19">
        <f t="shared" si="294"/>
        <v>-1459</v>
      </c>
      <c r="E506" s="106"/>
      <c r="F506" s="107"/>
      <c r="G506" s="26">
        <f t="shared" si="295"/>
        <v>-1459</v>
      </c>
      <c r="H506" s="133"/>
      <c r="I506" s="117"/>
      <c r="J506" s="19">
        <f t="shared" si="296"/>
        <v>-1459</v>
      </c>
      <c r="K506" s="106"/>
      <c r="L506" s="107"/>
      <c r="M506" s="26">
        <f t="shared" si="297"/>
        <v>-1459</v>
      </c>
      <c r="N506" s="117"/>
      <c r="O506" s="117"/>
      <c r="P506" s="38">
        <f t="shared" si="298"/>
        <v>-1459</v>
      </c>
      <c r="Q506" s="106"/>
      <c r="R506" s="107"/>
      <c r="S506" s="26">
        <f t="shared" si="299"/>
        <v>-1459</v>
      </c>
      <c r="T506" s="136"/>
      <c r="U506" s="136"/>
      <c r="V506" s="45">
        <f t="shared" si="300"/>
        <v>-1459</v>
      </c>
      <c r="W506" s="143"/>
    </row>
    <row r="507" spans="1:23" ht="15.75" customHeight="1">
      <c r="A507" s="114"/>
      <c r="B507" s="117"/>
      <c r="C507" s="117"/>
      <c r="D507" s="19">
        <f t="shared" si="294"/>
        <v>-1459</v>
      </c>
      <c r="E507" s="106"/>
      <c r="F507" s="107"/>
      <c r="G507" s="26">
        <f t="shared" si="295"/>
        <v>-1459</v>
      </c>
      <c r="H507" s="133"/>
      <c r="I507" s="117"/>
      <c r="J507" s="19">
        <f t="shared" si="296"/>
        <v>-1459</v>
      </c>
      <c r="K507" s="106"/>
      <c r="L507" s="107"/>
      <c r="M507" s="26">
        <f t="shared" si="297"/>
        <v>-1459</v>
      </c>
      <c r="N507" s="117"/>
      <c r="O507" s="117"/>
      <c r="P507" s="38">
        <f t="shared" si="298"/>
        <v>-1459</v>
      </c>
      <c r="Q507" s="106"/>
      <c r="R507" s="107"/>
      <c r="S507" s="26">
        <f t="shared" si="299"/>
        <v>-1459</v>
      </c>
      <c r="T507" s="136"/>
      <c r="U507" s="136"/>
      <c r="V507" s="45">
        <f t="shared" si="300"/>
        <v>-1459</v>
      </c>
      <c r="W507" s="143"/>
    </row>
    <row r="508" spans="1:23" ht="15.75" customHeight="1">
      <c r="A508" s="114"/>
      <c r="B508" s="117"/>
      <c r="C508" s="117"/>
      <c r="D508" s="19">
        <f t="shared" si="294"/>
        <v>-1459</v>
      </c>
      <c r="E508" s="106"/>
      <c r="F508" s="107"/>
      <c r="G508" s="26">
        <f t="shared" si="295"/>
        <v>-1459</v>
      </c>
      <c r="H508" s="133"/>
      <c r="I508" s="117"/>
      <c r="J508" s="19">
        <f t="shared" si="296"/>
        <v>-1459</v>
      </c>
      <c r="K508" s="106"/>
      <c r="L508" s="107"/>
      <c r="M508" s="26">
        <f t="shared" si="297"/>
        <v>-1459</v>
      </c>
      <c r="N508" s="117"/>
      <c r="O508" s="117"/>
      <c r="P508" s="38">
        <f t="shared" si="298"/>
        <v>-1459</v>
      </c>
      <c r="Q508" s="106"/>
      <c r="R508" s="107"/>
      <c r="S508" s="26">
        <f t="shared" si="299"/>
        <v>-1459</v>
      </c>
      <c r="T508" s="136"/>
      <c r="U508" s="136"/>
      <c r="V508" s="45">
        <f t="shared" si="300"/>
        <v>-1459</v>
      </c>
      <c r="W508" s="143"/>
    </row>
    <row r="509" spans="1:23" ht="15.75" customHeight="1">
      <c r="A509" s="114"/>
      <c r="B509" s="117"/>
      <c r="C509" s="117"/>
      <c r="D509" s="19">
        <f t="shared" si="294"/>
        <v>-1459</v>
      </c>
      <c r="E509" s="122"/>
      <c r="F509" s="123"/>
      <c r="G509" s="26">
        <f t="shared" si="295"/>
        <v>-1459</v>
      </c>
      <c r="H509" s="133"/>
      <c r="I509" s="117"/>
      <c r="J509" s="19">
        <f t="shared" si="296"/>
        <v>-1459</v>
      </c>
      <c r="K509" s="122"/>
      <c r="L509" s="123"/>
      <c r="M509" s="26">
        <f t="shared" si="297"/>
        <v>-1459</v>
      </c>
      <c r="N509" s="117"/>
      <c r="O509" s="117"/>
      <c r="P509" s="38">
        <f t="shared" si="298"/>
        <v>-1459</v>
      </c>
      <c r="Q509" s="122"/>
      <c r="R509" s="123"/>
      <c r="S509" s="26">
        <f t="shared" si="299"/>
        <v>-1459</v>
      </c>
      <c r="T509" s="136"/>
      <c r="U509" s="136"/>
      <c r="V509" s="45">
        <f t="shared" si="300"/>
        <v>-1459</v>
      </c>
      <c r="W509" s="143"/>
    </row>
    <row r="510" spans="1:23" ht="15.75" customHeight="1">
      <c r="A510" s="114"/>
      <c r="B510" s="128"/>
      <c r="C510" s="128"/>
      <c r="D510" s="29">
        <f t="shared" si="294"/>
        <v>-1459</v>
      </c>
      <c r="E510" s="122"/>
      <c r="F510" s="123"/>
      <c r="G510" s="53">
        <f t="shared" si="295"/>
        <v>-1459</v>
      </c>
      <c r="H510" s="140"/>
      <c r="I510" s="128"/>
      <c r="J510" s="29">
        <f t="shared" si="296"/>
        <v>-1459</v>
      </c>
      <c r="K510" s="122"/>
      <c r="L510" s="123"/>
      <c r="M510" s="39">
        <f t="shared" si="297"/>
        <v>-1459</v>
      </c>
      <c r="N510" s="128"/>
      <c r="O510" s="128"/>
      <c r="P510" s="40">
        <f t="shared" si="298"/>
        <v>-1459</v>
      </c>
      <c r="Q510" s="122"/>
      <c r="R510" s="123"/>
      <c r="S510" s="39">
        <f t="shared" si="299"/>
        <v>-1459</v>
      </c>
      <c r="T510" s="141"/>
      <c r="U510" s="141"/>
      <c r="V510" s="46">
        <f t="shared" si="300"/>
        <v>-1459</v>
      </c>
      <c r="W510" s="143"/>
    </row>
    <row r="511" spans="1:23" ht="15.75" customHeight="1">
      <c r="A511" s="87"/>
      <c r="B511" s="77">
        <f ca="1">IFERROR(__xludf.DUMMYFUNCTION("DATE(VALUE(LEFT($B$2,4)),VALUE(MID($B$2,6,2)),VALUE(RIGHT($B$2,2)))
+ (VALUE(REGEXEXTRACT(INDIRECT(""A""&amp;ROW()+1),""\d+""))-1)*7
+ INT((COLUMN()-COLUMN($B511))/3)
"),47783)</f>
        <v>47783</v>
      </c>
      <c r="C511" s="81"/>
      <c r="D511" s="82"/>
      <c r="E511" s="77">
        <f ca="1">IFERROR(__xludf.DUMMYFUNCTION("DATE(VALUE(LEFT($B$2,4)),VALUE(MID($B$2,6,2)),VALUE(RIGHT($B$2,2)))
+ (VALUE(REGEXEXTRACT(INDIRECT(""A""&amp;ROW()+1),""\d+""))-1)*7
+ INT((COLUMN()-COLUMN($B511))/3)
"),47784)</f>
        <v>47784</v>
      </c>
      <c r="F511" s="81"/>
      <c r="G511" s="82"/>
      <c r="H511" s="77">
        <f ca="1">IFERROR(__xludf.DUMMYFUNCTION("DATE(VALUE(LEFT($B$2,4)),VALUE(MID($B$2,6,2)),VALUE(RIGHT($B$2,2)))
+ (VALUE(REGEXEXTRACT(INDIRECT(""A""&amp;ROW()+1),""\d+""))-1)*7
+ INT((COLUMN()-COLUMN($B511))/3)
"),47785)</f>
        <v>47785</v>
      </c>
      <c r="I511" s="81"/>
      <c r="J511" s="82"/>
      <c r="K511" s="77">
        <f ca="1">IFERROR(__xludf.DUMMYFUNCTION("DATE(VALUE(LEFT($B$2,4)),VALUE(MID($B$2,6,2)),VALUE(RIGHT($B$2,2)))
+ (VALUE(REGEXEXTRACT(INDIRECT(""A""&amp;ROW()+1),""\d+""))-1)*7
+ INT((COLUMN()-COLUMN($B511))/3)
"),47786)</f>
        <v>47786</v>
      </c>
      <c r="L511" s="81"/>
      <c r="M511" s="82"/>
      <c r="N511" s="77">
        <f ca="1">IFERROR(__xludf.DUMMYFUNCTION("DATE(VALUE(LEFT($B$2,4)),VALUE(MID($B$2,6,2)),VALUE(RIGHT($B$2,2)))
+ (VALUE(REGEXEXTRACT(INDIRECT(""A""&amp;ROW()+1),""\d+""))-1)*7
+ INT((COLUMN()-COLUMN($B511))/3)
"),47787)</f>
        <v>47787</v>
      </c>
      <c r="O511" s="81"/>
      <c r="P511" s="82"/>
      <c r="Q511" s="77">
        <f ca="1">IFERROR(__xludf.DUMMYFUNCTION("DATE(VALUE(LEFT($B$2,4)),VALUE(MID($B$2,6,2)),VALUE(RIGHT($B$2,2)))
+ (VALUE(REGEXEXTRACT(INDIRECT(""A""&amp;ROW()+1),""\d+""))-1)*7
+ INT((COLUMN()-COLUMN($B511))/3)
"),47788)</f>
        <v>47788</v>
      </c>
      <c r="R511" s="81"/>
      <c r="S511" s="82"/>
      <c r="T511" s="77">
        <f ca="1">IFERROR(__xludf.DUMMYFUNCTION("DATE(VALUE(LEFT($B$2,4)),VALUE(MID($B$2,6,2)),VALUE(RIGHT($B$2,2)))
+ (VALUE(REGEXEXTRACT(INDIRECT(""A""&amp;ROW()+1),""\d+""))-1)*7
+ INT((COLUMN()-COLUMN($B511))/3)
"),47789)</f>
        <v>47789</v>
      </c>
      <c r="U511" s="81"/>
      <c r="V511" s="82"/>
      <c r="W511" s="143"/>
    </row>
    <row r="512" spans="1:23" ht="15.75" customHeight="1">
      <c r="A512" s="51" t="s">
        <v>172</v>
      </c>
      <c r="B512" s="112"/>
      <c r="C512" s="111"/>
      <c r="D512" s="17">
        <f>V510+C512</f>
        <v>-1459</v>
      </c>
      <c r="E512" s="109"/>
      <c r="F512" s="109"/>
      <c r="G512" s="54">
        <f>D522+F512</f>
        <v>-1459</v>
      </c>
      <c r="H512" s="110"/>
      <c r="I512" s="111"/>
      <c r="J512" s="17">
        <f>G522+I512</f>
        <v>-1459</v>
      </c>
      <c r="K512" s="109"/>
      <c r="L512" s="109"/>
      <c r="M512" s="35">
        <f>J522+L512</f>
        <v>-1459</v>
      </c>
      <c r="N512" s="112"/>
      <c r="O512" s="111"/>
      <c r="P512" s="17">
        <f>M522+O512</f>
        <v>-1459</v>
      </c>
      <c r="Q512" s="109"/>
      <c r="R512" s="109"/>
      <c r="S512" s="35">
        <f>P522+R512</f>
        <v>-1459</v>
      </c>
      <c r="T512" s="112"/>
      <c r="U512" s="111"/>
      <c r="V512" s="48">
        <f>S522+U512</f>
        <v>-1459</v>
      </c>
      <c r="W512" s="143"/>
    </row>
    <row r="513" spans="1:23" ht="15.75" customHeight="1">
      <c r="A513" s="114"/>
      <c r="B513" s="106"/>
      <c r="C513" s="107"/>
      <c r="D513" s="26">
        <f t="shared" ref="D513:D522" si="301">D512+C513</f>
        <v>-1459</v>
      </c>
      <c r="E513" s="117"/>
      <c r="F513" s="117"/>
      <c r="G513" s="19">
        <f t="shared" ref="G513:G522" si="302">G512+F513</f>
        <v>-1459</v>
      </c>
      <c r="H513" s="116"/>
      <c r="I513" s="107"/>
      <c r="J513" s="26">
        <f t="shared" ref="J513:J522" si="303">J512+I513</f>
        <v>-1459</v>
      </c>
      <c r="K513" s="117"/>
      <c r="L513" s="117"/>
      <c r="M513" s="38">
        <f t="shared" ref="M513:M522" si="304">M512+L513</f>
        <v>-1459</v>
      </c>
      <c r="N513" s="106"/>
      <c r="O513" s="107"/>
      <c r="P513" s="26">
        <f t="shared" ref="P513:P522" si="305">P512+O513</f>
        <v>-1459</v>
      </c>
      <c r="Q513" s="117"/>
      <c r="R513" s="117"/>
      <c r="S513" s="38">
        <f t="shared" ref="S513:S522" si="306">S512+R513</f>
        <v>-1459</v>
      </c>
      <c r="T513" s="106"/>
      <c r="U513" s="107"/>
      <c r="V513" s="20">
        <f t="shared" ref="V513:V522" si="307">V512+U513</f>
        <v>-1459</v>
      </c>
      <c r="W513" s="143"/>
    </row>
    <row r="514" spans="1:23" ht="15.75" customHeight="1">
      <c r="A514" s="114"/>
      <c r="B514" s="106"/>
      <c r="C514" s="107"/>
      <c r="D514" s="26">
        <f t="shared" si="301"/>
        <v>-1459</v>
      </c>
      <c r="E514" s="117"/>
      <c r="F514" s="117"/>
      <c r="G514" s="19">
        <f t="shared" si="302"/>
        <v>-1459</v>
      </c>
      <c r="H514" s="116"/>
      <c r="I514" s="107"/>
      <c r="J514" s="26">
        <f t="shared" si="303"/>
        <v>-1459</v>
      </c>
      <c r="K514" s="117"/>
      <c r="L514" s="117"/>
      <c r="M514" s="38">
        <f t="shared" si="304"/>
        <v>-1459</v>
      </c>
      <c r="N514" s="106"/>
      <c r="O514" s="107"/>
      <c r="P514" s="26">
        <f t="shared" si="305"/>
        <v>-1459</v>
      </c>
      <c r="Q514" s="117"/>
      <c r="R514" s="117"/>
      <c r="S514" s="38">
        <f t="shared" si="306"/>
        <v>-1459</v>
      </c>
      <c r="T514" s="106"/>
      <c r="U514" s="116"/>
      <c r="V514" s="20">
        <f t="shared" si="307"/>
        <v>-1459</v>
      </c>
      <c r="W514" s="143"/>
    </row>
    <row r="515" spans="1:23" ht="15.75" customHeight="1">
      <c r="A515" s="114"/>
      <c r="B515" s="106"/>
      <c r="C515" s="107"/>
      <c r="D515" s="26">
        <f t="shared" si="301"/>
        <v>-1459</v>
      </c>
      <c r="E515" s="117"/>
      <c r="F515" s="117"/>
      <c r="G515" s="19">
        <f t="shared" si="302"/>
        <v>-1459</v>
      </c>
      <c r="H515" s="116"/>
      <c r="I515" s="107"/>
      <c r="J515" s="26">
        <f t="shared" si="303"/>
        <v>-1459</v>
      </c>
      <c r="K515" s="117"/>
      <c r="L515" s="117"/>
      <c r="M515" s="38">
        <f t="shared" si="304"/>
        <v>-1459</v>
      </c>
      <c r="N515" s="106"/>
      <c r="O515" s="107"/>
      <c r="P515" s="26">
        <f t="shared" si="305"/>
        <v>-1459</v>
      </c>
      <c r="Q515" s="117"/>
      <c r="R515" s="117"/>
      <c r="S515" s="38">
        <f t="shared" si="306"/>
        <v>-1459</v>
      </c>
      <c r="T515" s="106"/>
      <c r="U515" s="116"/>
      <c r="V515" s="20">
        <f t="shared" si="307"/>
        <v>-1459</v>
      </c>
      <c r="W515" s="143"/>
    </row>
    <row r="516" spans="1:23" ht="15.75" customHeight="1">
      <c r="A516" s="114"/>
      <c r="B516" s="106"/>
      <c r="C516" s="107"/>
      <c r="D516" s="26">
        <f t="shared" si="301"/>
        <v>-1459</v>
      </c>
      <c r="E516" s="117"/>
      <c r="F516" s="117"/>
      <c r="G516" s="19">
        <f t="shared" si="302"/>
        <v>-1459</v>
      </c>
      <c r="H516" s="116"/>
      <c r="I516" s="107"/>
      <c r="J516" s="26">
        <f t="shared" si="303"/>
        <v>-1459</v>
      </c>
      <c r="K516" s="117"/>
      <c r="L516" s="117"/>
      <c r="M516" s="38">
        <f t="shared" si="304"/>
        <v>-1459</v>
      </c>
      <c r="N516" s="106"/>
      <c r="O516" s="107"/>
      <c r="P516" s="26">
        <f t="shared" si="305"/>
        <v>-1459</v>
      </c>
      <c r="Q516" s="117"/>
      <c r="R516" s="117"/>
      <c r="S516" s="38">
        <f t="shared" si="306"/>
        <v>-1459</v>
      </c>
      <c r="T516" s="106"/>
      <c r="U516" s="116"/>
      <c r="V516" s="20">
        <f t="shared" si="307"/>
        <v>-1459</v>
      </c>
      <c r="W516" s="143"/>
    </row>
    <row r="517" spans="1:23" ht="15.75" customHeight="1">
      <c r="A517" s="114"/>
      <c r="B517" s="106"/>
      <c r="C517" s="107"/>
      <c r="D517" s="26">
        <f t="shared" si="301"/>
        <v>-1459</v>
      </c>
      <c r="E517" s="117"/>
      <c r="F517" s="117"/>
      <c r="G517" s="19">
        <f t="shared" si="302"/>
        <v>-1459</v>
      </c>
      <c r="H517" s="116"/>
      <c r="I517" s="107"/>
      <c r="J517" s="26">
        <f t="shared" si="303"/>
        <v>-1459</v>
      </c>
      <c r="K517" s="117"/>
      <c r="L517" s="117"/>
      <c r="M517" s="38">
        <f t="shared" si="304"/>
        <v>-1459</v>
      </c>
      <c r="N517" s="106"/>
      <c r="O517" s="107"/>
      <c r="P517" s="26">
        <f t="shared" si="305"/>
        <v>-1459</v>
      </c>
      <c r="Q517" s="117"/>
      <c r="R517" s="117"/>
      <c r="S517" s="38">
        <f t="shared" si="306"/>
        <v>-1459</v>
      </c>
      <c r="T517" s="106"/>
      <c r="U517" s="116"/>
      <c r="V517" s="20">
        <f t="shared" si="307"/>
        <v>-1459</v>
      </c>
      <c r="W517" s="143"/>
    </row>
    <row r="518" spans="1:23" ht="15.75" customHeight="1">
      <c r="A518" s="114"/>
      <c r="B518" s="106"/>
      <c r="C518" s="107"/>
      <c r="D518" s="26">
        <f t="shared" si="301"/>
        <v>-1459</v>
      </c>
      <c r="E518" s="117"/>
      <c r="F518" s="117"/>
      <c r="G518" s="19">
        <f t="shared" si="302"/>
        <v>-1459</v>
      </c>
      <c r="H518" s="116"/>
      <c r="I518" s="107"/>
      <c r="J518" s="26">
        <f t="shared" si="303"/>
        <v>-1459</v>
      </c>
      <c r="K518" s="117"/>
      <c r="L518" s="117"/>
      <c r="M518" s="38">
        <f t="shared" si="304"/>
        <v>-1459</v>
      </c>
      <c r="N518" s="106"/>
      <c r="O518" s="107"/>
      <c r="P518" s="26">
        <f t="shared" si="305"/>
        <v>-1459</v>
      </c>
      <c r="Q518" s="117"/>
      <c r="R518" s="117"/>
      <c r="S518" s="38">
        <f t="shared" si="306"/>
        <v>-1459</v>
      </c>
      <c r="T518" s="106"/>
      <c r="U518" s="116"/>
      <c r="V518" s="20">
        <f t="shared" si="307"/>
        <v>-1459</v>
      </c>
      <c r="W518" s="143"/>
    </row>
    <row r="519" spans="1:23" ht="15.75" customHeight="1">
      <c r="A519" s="114"/>
      <c r="B519" s="106"/>
      <c r="C519" s="107"/>
      <c r="D519" s="26">
        <f t="shared" si="301"/>
        <v>-1459</v>
      </c>
      <c r="E519" s="117"/>
      <c r="F519" s="117"/>
      <c r="G519" s="19">
        <f t="shared" si="302"/>
        <v>-1459</v>
      </c>
      <c r="H519" s="116"/>
      <c r="I519" s="107"/>
      <c r="J519" s="26">
        <f t="shared" si="303"/>
        <v>-1459</v>
      </c>
      <c r="K519" s="117"/>
      <c r="L519" s="117"/>
      <c r="M519" s="38">
        <f t="shared" si="304"/>
        <v>-1459</v>
      </c>
      <c r="N519" s="106"/>
      <c r="O519" s="107"/>
      <c r="P519" s="26">
        <f t="shared" si="305"/>
        <v>-1459</v>
      </c>
      <c r="Q519" s="117"/>
      <c r="R519" s="117"/>
      <c r="S519" s="38">
        <f t="shared" si="306"/>
        <v>-1459</v>
      </c>
      <c r="T519" s="106"/>
      <c r="U519" s="116"/>
      <c r="V519" s="20">
        <f t="shared" si="307"/>
        <v>-1459</v>
      </c>
      <c r="W519" s="143"/>
    </row>
    <row r="520" spans="1:23" ht="15.75" customHeight="1">
      <c r="A520" s="114"/>
      <c r="B520" s="122"/>
      <c r="C520" s="123"/>
      <c r="D520" s="26">
        <f t="shared" si="301"/>
        <v>-1459</v>
      </c>
      <c r="E520" s="117"/>
      <c r="F520" s="117"/>
      <c r="G520" s="19">
        <f t="shared" si="302"/>
        <v>-1459</v>
      </c>
      <c r="H520" s="124"/>
      <c r="I520" s="123"/>
      <c r="J520" s="26">
        <f t="shared" si="303"/>
        <v>-1459</v>
      </c>
      <c r="K520" s="117"/>
      <c r="L520" s="117"/>
      <c r="M520" s="38">
        <f t="shared" si="304"/>
        <v>-1459</v>
      </c>
      <c r="N520" s="122"/>
      <c r="O520" s="123"/>
      <c r="P520" s="26">
        <f t="shared" si="305"/>
        <v>-1459</v>
      </c>
      <c r="Q520" s="117"/>
      <c r="R520" s="117"/>
      <c r="S520" s="38">
        <f t="shared" si="306"/>
        <v>-1459</v>
      </c>
      <c r="T520" s="106"/>
      <c r="U520" s="116"/>
      <c r="V520" s="20">
        <f t="shared" si="307"/>
        <v>-1459</v>
      </c>
      <c r="W520" s="143"/>
    </row>
    <row r="521" spans="1:23" ht="15.75" customHeight="1">
      <c r="A521" s="114"/>
      <c r="B521" s="122"/>
      <c r="C521" s="123"/>
      <c r="D521" s="26">
        <f t="shared" si="301"/>
        <v>-1459</v>
      </c>
      <c r="E521" s="117"/>
      <c r="F521" s="117"/>
      <c r="G521" s="19">
        <f t="shared" si="302"/>
        <v>-1459</v>
      </c>
      <c r="H521" s="124"/>
      <c r="I521" s="123"/>
      <c r="J521" s="26">
        <f t="shared" si="303"/>
        <v>-1459</v>
      </c>
      <c r="K521" s="117"/>
      <c r="L521" s="117"/>
      <c r="M521" s="38">
        <f t="shared" si="304"/>
        <v>-1459</v>
      </c>
      <c r="N521" s="122"/>
      <c r="O521" s="123"/>
      <c r="P521" s="26">
        <f t="shared" si="305"/>
        <v>-1459</v>
      </c>
      <c r="Q521" s="117"/>
      <c r="R521" s="117"/>
      <c r="S521" s="38">
        <f t="shared" si="306"/>
        <v>-1459</v>
      </c>
      <c r="T521" s="122"/>
      <c r="U521" s="124"/>
      <c r="V521" s="20">
        <f t="shared" si="307"/>
        <v>-1459</v>
      </c>
      <c r="W521" s="143"/>
    </row>
    <row r="522" spans="1:23" ht="15.75" customHeight="1">
      <c r="A522" s="114"/>
      <c r="B522" s="122"/>
      <c r="C522" s="123"/>
      <c r="D522" s="39">
        <f t="shared" si="301"/>
        <v>-1459</v>
      </c>
      <c r="E522" s="128"/>
      <c r="F522" s="128"/>
      <c r="G522" s="55">
        <f t="shared" si="302"/>
        <v>-1459</v>
      </c>
      <c r="H522" s="124"/>
      <c r="I522" s="123"/>
      <c r="J522" s="39">
        <f t="shared" si="303"/>
        <v>-1459</v>
      </c>
      <c r="K522" s="128"/>
      <c r="L522" s="128"/>
      <c r="M522" s="40">
        <f t="shared" si="304"/>
        <v>-1459</v>
      </c>
      <c r="N522" s="122"/>
      <c r="O522" s="123"/>
      <c r="P522" s="39">
        <f t="shared" si="305"/>
        <v>-1459</v>
      </c>
      <c r="Q522" s="128"/>
      <c r="R522" s="128"/>
      <c r="S522" s="40">
        <f t="shared" si="306"/>
        <v>-1459</v>
      </c>
      <c r="T522" s="122"/>
      <c r="U522" s="123"/>
      <c r="V522" s="49">
        <f t="shared" si="307"/>
        <v>-1459</v>
      </c>
      <c r="W522" s="143"/>
    </row>
    <row r="523" spans="1:23" ht="15.75" customHeight="1">
      <c r="A523" s="87"/>
      <c r="B523" s="77">
        <f ca="1">IFERROR(__xludf.DUMMYFUNCTION("DATE(VALUE(LEFT($B$2,4)),VALUE(MID($B$2,6,2)),VALUE(RIGHT($B$2,2)))
+ (VALUE(REGEXEXTRACT(INDIRECT(""A""&amp;ROW()+1),""\d+""))-1)*7
+ INT((COLUMN()-COLUMN($B523))/3)
"),47790)</f>
        <v>47790</v>
      </c>
      <c r="C523" s="81"/>
      <c r="D523" s="82"/>
      <c r="E523" s="77">
        <f ca="1">IFERROR(__xludf.DUMMYFUNCTION("DATE(VALUE(LEFT($B$2,4)),VALUE(MID($B$2,6,2)),VALUE(RIGHT($B$2,2)))
+ (VALUE(REGEXEXTRACT(INDIRECT(""A""&amp;ROW()+1),""\d+""))-1)*7
+ INT((COLUMN()-COLUMN($B523))/3)
"),47791)</f>
        <v>47791</v>
      </c>
      <c r="F523" s="81"/>
      <c r="G523" s="82"/>
      <c r="H523" s="77">
        <f ca="1">IFERROR(__xludf.DUMMYFUNCTION("DATE(VALUE(LEFT($B$2,4)),VALUE(MID($B$2,6,2)),VALUE(RIGHT($B$2,2)))
+ (VALUE(REGEXEXTRACT(INDIRECT(""A""&amp;ROW()+1),""\d+""))-1)*7
+ INT((COLUMN()-COLUMN($B523))/3)
"),47792)</f>
        <v>47792</v>
      </c>
      <c r="I523" s="81"/>
      <c r="J523" s="82"/>
      <c r="K523" s="77">
        <f ca="1">IFERROR(__xludf.DUMMYFUNCTION("DATE(VALUE(LEFT($B$2,4)),VALUE(MID($B$2,6,2)),VALUE(RIGHT($B$2,2)))
+ (VALUE(REGEXEXTRACT(INDIRECT(""A""&amp;ROW()+1),""\d+""))-1)*7
+ INT((COLUMN()-COLUMN($B523))/3)
"),47793)</f>
        <v>47793</v>
      </c>
      <c r="L523" s="81"/>
      <c r="M523" s="82"/>
      <c r="N523" s="77">
        <f ca="1">IFERROR(__xludf.DUMMYFUNCTION("DATE(VALUE(LEFT($B$2,4)),VALUE(MID($B$2,6,2)),VALUE(RIGHT($B$2,2)))
+ (VALUE(REGEXEXTRACT(INDIRECT(""A""&amp;ROW()+1),""\d+""))-1)*7
+ INT((COLUMN()-COLUMN($B523))/3)
"),47794)</f>
        <v>47794</v>
      </c>
      <c r="O523" s="81"/>
      <c r="P523" s="82"/>
      <c r="Q523" s="77">
        <f ca="1">IFERROR(__xludf.DUMMYFUNCTION("DATE(VALUE(LEFT($B$2,4)),VALUE(MID($B$2,6,2)),VALUE(RIGHT($B$2,2)))
+ (VALUE(REGEXEXTRACT(INDIRECT(""A""&amp;ROW()+1),""\d+""))-1)*7
+ INT((COLUMN()-COLUMN($B523))/3)
"),47795)</f>
        <v>47795</v>
      </c>
      <c r="R523" s="81"/>
      <c r="S523" s="82"/>
      <c r="T523" s="77">
        <f ca="1">IFERROR(__xludf.DUMMYFUNCTION("DATE(VALUE(LEFT($B$2,4)),VALUE(MID($B$2,6,2)),VALUE(RIGHT($B$2,2)))
+ (VALUE(REGEXEXTRACT(INDIRECT(""A""&amp;ROW()+1),""\d+""))-1)*7
+ INT((COLUMN()-COLUMN($B523))/3)
"),47796)</f>
        <v>47796</v>
      </c>
      <c r="U523" s="81"/>
      <c r="V523" s="82"/>
      <c r="W523" s="52" t="s">
        <v>20</v>
      </c>
    </row>
    <row r="524" spans="1:23" ht="15.75" customHeight="1">
      <c r="A524" s="47" t="s">
        <v>173</v>
      </c>
      <c r="B524" s="113"/>
      <c r="C524" s="109"/>
      <c r="D524" s="42">
        <f>V522+C524</f>
        <v>-1459</v>
      </c>
      <c r="E524" s="112"/>
      <c r="F524" s="111"/>
      <c r="G524" s="36">
        <f>D534+F524</f>
        <v>-1459</v>
      </c>
      <c r="H524" s="132"/>
      <c r="I524" s="109"/>
      <c r="J524" s="42">
        <f>G534+I524</f>
        <v>-1459</v>
      </c>
      <c r="K524" s="112"/>
      <c r="L524" s="111"/>
      <c r="M524" s="18">
        <f>J534+L524</f>
        <v>-1459</v>
      </c>
      <c r="N524" s="113"/>
      <c r="O524" s="109"/>
      <c r="P524" s="35">
        <f>M534+O524</f>
        <v>-1459</v>
      </c>
      <c r="Q524" s="112"/>
      <c r="R524" s="111"/>
      <c r="S524" s="18">
        <f>P534+R524</f>
        <v>-1459</v>
      </c>
      <c r="T524" s="173"/>
      <c r="U524" s="173"/>
      <c r="V524" s="50">
        <f>S534+U524</f>
        <v>-1459</v>
      </c>
      <c r="W524" s="172"/>
    </row>
    <row r="525" spans="1:23" ht="15.75" customHeight="1">
      <c r="A525" s="114"/>
      <c r="B525" s="118"/>
      <c r="C525" s="117"/>
      <c r="D525" s="19">
        <f t="shared" ref="D525:D534" si="308">D524+C525</f>
        <v>-1459</v>
      </c>
      <c r="E525" s="106"/>
      <c r="F525" s="107"/>
      <c r="G525" s="26">
        <f t="shared" ref="G525:G534" si="309">G524+F525</f>
        <v>-1459</v>
      </c>
      <c r="H525" s="133"/>
      <c r="I525" s="117"/>
      <c r="J525" s="19">
        <f t="shared" ref="J525:J534" si="310">J524+I525</f>
        <v>-1459</v>
      </c>
      <c r="K525" s="106"/>
      <c r="L525" s="107"/>
      <c r="M525" s="26">
        <f t="shared" ref="M525:M534" si="311">M524+L525</f>
        <v>-1459</v>
      </c>
      <c r="N525" s="118"/>
      <c r="O525" s="117"/>
      <c r="P525" s="38">
        <f t="shared" ref="P525:P534" si="312">P524+O525</f>
        <v>-1459</v>
      </c>
      <c r="Q525" s="106"/>
      <c r="R525" s="107"/>
      <c r="S525" s="26">
        <f t="shared" ref="S525:S534" si="313">S524+R525</f>
        <v>-1459</v>
      </c>
      <c r="T525" s="136"/>
      <c r="U525" s="136"/>
      <c r="V525" s="45">
        <f t="shared" ref="V525:V534" si="314">V524+U525</f>
        <v>-1459</v>
      </c>
      <c r="W525" s="143"/>
    </row>
    <row r="526" spans="1:23" ht="15.75" customHeight="1">
      <c r="A526" s="114"/>
      <c r="B526" s="118"/>
      <c r="C526" s="117"/>
      <c r="D526" s="19">
        <f t="shared" si="308"/>
        <v>-1459</v>
      </c>
      <c r="E526" s="106"/>
      <c r="F526" s="107"/>
      <c r="G526" s="26">
        <f t="shared" si="309"/>
        <v>-1459</v>
      </c>
      <c r="H526" s="133"/>
      <c r="I526" s="117"/>
      <c r="J526" s="19">
        <f t="shared" si="310"/>
        <v>-1459</v>
      </c>
      <c r="K526" s="106"/>
      <c r="L526" s="107"/>
      <c r="M526" s="26">
        <f t="shared" si="311"/>
        <v>-1459</v>
      </c>
      <c r="N526" s="117"/>
      <c r="O526" s="117"/>
      <c r="P526" s="38">
        <f t="shared" si="312"/>
        <v>-1459</v>
      </c>
      <c r="Q526" s="106"/>
      <c r="R526" s="107"/>
      <c r="S526" s="26">
        <f t="shared" si="313"/>
        <v>-1459</v>
      </c>
      <c r="T526" s="136"/>
      <c r="U526" s="136"/>
      <c r="V526" s="45">
        <f t="shared" si="314"/>
        <v>-1459</v>
      </c>
      <c r="W526" s="143"/>
    </row>
    <row r="527" spans="1:23" ht="15.75" customHeight="1">
      <c r="A527" s="114"/>
      <c r="B527" s="118"/>
      <c r="C527" s="117"/>
      <c r="D527" s="19">
        <f t="shared" si="308"/>
        <v>-1459</v>
      </c>
      <c r="E527" s="106"/>
      <c r="F527" s="107"/>
      <c r="G527" s="26">
        <f t="shared" si="309"/>
        <v>-1459</v>
      </c>
      <c r="H527" s="133"/>
      <c r="I527" s="117"/>
      <c r="J527" s="19">
        <f t="shared" si="310"/>
        <v>-1459</v>
      </c>
      <c r="K527" s="106"/>
      <c r="L527" s="107"/>
      <c r="M527" s="26">
        <f t="shared" si="311"/>
        <v>-1459</v>
      </c>
      <c r="N527" s="117"/>
      <c r="O527" s="117"/>
      <c r="P527" s="38">
        <f t="shared" si="312"/>
        <v>-1459</v>
      </c>
      <c r="Q527" s="106"/>
      <c r="R527" s="107"/>
      <c r="S527" s="26">
        <f t="shared" si="313"/>
        <v>-1459</v>
      </c>
      <c r="T527" s="136"/>
      <c r="U527" s="136"/>
      <c r="V527" s="45">
        <f t="shared" si="314"/>
        <v>-1459</v>
      </c>
      <c r="W527" s="143"/>
    </row>
    <row r="528" spans="1:23" ht="15.75" customHeight="1">
      <c r="A528" s="114"/>
      <c r="B528" s="118"/>
      <c r="C528" s="117"/>
      <c r="D528" s="19">
        <f t="shared" si="308"/>
        <v>-1459</v>
      </c>
      <c r="E528" s="106"/>
      <c r="F528" s="107"/>
      <c r="G528" s="26">
        <f t="shared" si="309"/>
        <v>-1459</v>
      </c>
      <c r="H528" s="133"/>
      <c r="I528" s="117"/>
      <c r="J528" s="19">
        <f t="shared" si="310"/>
        <v>-1459</v>
      </c>
      <c r="K528" s="106"/>
      <c r="L528" s="107"/>
      <c r="M528" s="26">
        <f t="shared" si="311"/>
        <v>-1459</v>
      </c>
      <c r="N528" s="117"/>
      <c r="O528" s="117"/>
      <c r="P528" s="38">
        <f t="shared" si="312"/>
        <v>-1459</v>
      </c>
      <c r="Q528" s="106"/>
      <c r="R528" s="107"/>
      <c r="S528" s="26">
        <f t="shared" si="313"/>
        <v>-1459</v>
      </c>
      <c r="T528" s="136"/>
      <c r="U528" s="136"/>
      <c r="V528" s="45">
        <f t="shared" si="314"/>
        <v>-1459</v>
      </c>
      <c r="W528" s="143"/>
    </row>
    <row r="529" spans="1:23" ht="15.75" customHeight="1">
      <c r="A529" s="114"/>
      <c r="B529" s="118"/>
      <c r="C529" s="117"/>
      <c r="D529" s="19">
        <f t="shared" si="308"/>
        <v>-1459</v>
      </c>
      <c r="E529" s="106"/>
      <c r="F529" s="107"/>
      <c r="G529" s="26">
        <f t="shared" si="309"/>
        <v>-1459</v>
      </c>
      <c r="H529" s="133"/>
      <c r="I529" s="117"/>
      <c r="J529" s="19">
        <f t="shared" si="310"/>
        <v>-1459</v>
      </c>
      <c r="K529" s="106"/>
      <c r="L529" s="107"/>
      <c r="M529" s="26">
        <f t="shared" si="311"/>
        <v>-1459</v>
      </c>
      <c r="N529" s="117"/>
      <c r="O529" s="117"/>
      <c r="P529" s="38">
        <f t="shared" si="312"/>
        <v>-1459</v>
      </c>
      <c r="Q529" s="106"/>
      <c r="R529" s="107"/>
      <c r="S529" s="26">
        <f t="shared" si="313"/>
        <v>-1459</v>
      </c>
      <c r="T529" s="136"/>
      <c r="U529" s="136"/>
      <c r="V529" s="45">
        <f t="shared" si="314"/>
        <v>-1459</v>
      </c>
      <c r="W529" s="143"/>
    </row>
    <row r="530" spans="1:23" ht="15.75" customHeight="1">
      <c r="A530" s="114"/>
      <c r="B530" s="117"/>
      <c r="C530" s="117"/>
      <c r="D530" s="19">
        <f t="shared" si="308"/>
        <v>-1459</v>
      </c>
      <c r="E530" s="106"/>
      <c r="F530" s="107"/>
      <c r="G530" s="26">
        <f t="shared" si="309"/>
        <v>-1459</v>
      </c>
      <c r="H530" s="133"/>
      <c r="I530" s="117"/>
      <c r="J530" s="19">
        <f t="shared" si="310"/>
        <v>-1459</v>
      </c>
      <c r="K530" s="106"/>
      <c r="L530" s="107"/>
      <c r="M530" s="26">
        <f t="shared" si="311"/>
        <v>-1459</v>
      </c>
      <c r="N530" s="117"/>
      <c r="O530" s="117"/>
      <c r="P530" s="38">
        <f t="shared" si="312"/>
        <v>-1459</v>
      </c>
      <c r="Q530" s="106"/>
      <c r="R530" s="107"/>
      <c r="S530" s="26">
        <f t="shared" si="313"/>
        <v>-1459</v>
      </c>
      <c r="T530" s="136"/>
      <c r="U530" s="136"/>
      <c r="V530" s="45">
        <f t="shared" si="314"/>
        <v>-1459</v>
      </c>
      <c r="W530" s="143"/>
    </row>
    <row r="531" spans="1:23" ht="15.75" customHeight="1">
      <c r="A531" s="114"/>
      <c r="B531" s="117"/>
      <c r="C531" s="117"/>
      <c r="D531" s="19">
        <f t="shared" si="308"/>
        <v>-1459</v>
      </c>
      <c r="E531" s="106"/>
      <c r="F531" s="107"/>
      <c r="G531" s="26">
        <f t="shared" si="309"/>
        <v>-1459</v>
      </c>
      <c r="H531" s="133"/>
      <c r="I531" s="117"/>
      <c r="J531" s="19">
        <f t="shared" si="310"/>
        <v>-1459</v>
      </c>
      <c r="K531" s="106"/>
      <c r="L531" s="107"/>
      <c r="M531" s="26">
        <f t="shared" si="311"/>
        <v>-1459</v>
      </c>
      <c r="N531" s="117"/>
      <c r="O531" s="117"/>
      <c r="P531" s="38">
        <f t="shared" si="312"/>
        <v>-1459</v>
      </c>
      <c r="Q531" s="106"/>
      <c r="R531" s="107"/>
      <c r="S531" s="26">
        <f t="shared" si="313"/>
        <v>-1459</v>
      </c>
      <c r="T531" s="136"/>
      <c r="U531" s="136"/>
      <c r="V531" s="45">
        <f t="shared" si="314"/>
        <v>-1459</v>
      </c>
      <c r="W531" s="143"/>
    </row>
    <row r="532" spans="1:23" ht="15.75" customHeight="1">
      <c r="A532" s="114"/>
      <c r="B532" s="117"/>
      <c r="C532" s="117"/>
      <c r="D532" s="19">
        <f t="shared" si="308"/>
        <v>-1459</v>
      </c>
      <c r="E532" s="106"/>
      <c r="F532" s="107"/>
      <c r="G532" s="26">
        <f t="shared" si="309"/>
        <v>-1459</v>
      </c>
      <c r="H532" s="133"/>
      <c r="I532" s="117"/>
      <c r="J532" s="19">
        <f t="shared" si="310"/>
        <v>-1459</v>
      </c>
      <c r="K532" s="106"/>
      <c r="L532" s="107"/>
      <c r="M532" s="26">
        <f t="shared" si="311"/>
        <v>-1459</v>
      </c>
      <c r="N532" s="117"/>
      <c r="O532" s="117"/>
      <c r="P532" s="38">
        <f t="shared" si="312"/>
        <v>-1459</v>
      </c>
      <c r="Q532" s="106"/>
      <c r="R532" s="107"/>
      <c r="S532" s="26">
        <f t="shared" si="313"/>
        <v>-1459</v>
      </c>
      <c r="T532" s="136"/>
      <c r="U532" s="136"/>
      <c r="V532" s="45">
        <f t="shared" si="314"/>
        <v>-1459</v>
      </c>
      <c r="W532" s="143"/>
    </row>
    <row r="533" spans="1:23" ht="15.75" customHeight="1">
      <c r="A533" s="114"/>
      <c r="B533" s="117"/>
      <c r="C533" s="117"/>
      <c r="D533" s="19">
        <f t="shared" si="308"/>
        <v>-1459</v>
      </c>
      <c r="E533" s="122"/>
      <c r="F533" s="123"/>
      <c r="G533" s="26">
        <f t="shared" si="309"/>
        <v>-1459</v>
      </c>
      <c r="H533" s="133"/>
      <c r="I533" s="117"/>
      <c r="J533" s="19">
        <f t="shared" si="310"/>
        <v>-1459</v>
      </c>
      <c r="K533" s="122"/>
      <c r="L533" s="123"/>
      <c r="M533" s="26">
        <f t="shared" si="311"/>
        <v>-1459</v>
      </c>
      <c r="N533" s="117"/>
      <c r="O533" s="117"/>
      <c r="P533" s="38">
        <f t="shared" si="312"/>
        <v>-1459</v>
      </c>
      <c r="Q533" s="122"/>
      <c r="R533" s="123"/>
      <c r="S533" s="26">
        <f t="shared" si="313"/>
        <v>-1459</v>
      </c>
      <c r="T533" s="136"/>
      <c r="U533" s="136"/>
      <c r="V533" s="45">
        <f t="shared" si="314"/>
        <v>-1459</v>
      </c>
      <c r="W533" s="143"/>
    </row>
    <row r="534" spans="1:23" ht="15.75" customHeight="1">
      <c r="A534" s="114"/>
      <c r="B534" s="128"/>
      <c r="C534" s="128"/>
      <c r="D534" s="29">
        <f t="shared" si="308"/>
        <v>-1459</v>
      </c>
      <c r="E534" s="122"/>
      <c r="F534" s="123"/>
      <c r="G534" s="53">
        <f t="shared" si="309"/>
        <v>-1459</v>
      </c>
      <c r="H534" s="140"/>
      <c r="I534" s="128"/>
      <c r="J534" s="29">
        <f t="shared" si="310"/>
        <v>-1459</v>
      </c>
      <c r="K534" s="122"/>
      <c r="L534" s="123"/>
      <c r="M534" s="39">
        <f t="shared" si="311"/>
        <v>-1459</v>
      </c>
      <c r="N534" s="128"/>
      <c r="O534" s="128"/>
      <c r="P534" s="40">
        <f t="shared" si="312"/>
        <v>-1459</v>
      </c>
      <c r="Q534" s="122"/>
      <c r="R534" s="123"/>
      <c r="S534" s="39">
        <f t="shared" si="313"/>
        <v>-1459</v>
      </c>
      <c r="T534" s="141"/>
      <c r="U534" s="141"/>
      <c r="V534" s="46">
        <f t="shared" si="314"/>
        <v>-1459</v>
      </c>
      <c r="W534" s="143"/>
    </row>
    <row r="535" spans="1:23" ht="15.75" customHeight="1">
      <c r="A535" s="87"/>
      <c r="B535" s="77">
        <f ca="1">IFERROR(__xludf.DUMMYFUNCTION("DATE(VALUE(LEFT($B$2,4)),VALUE(MID($B$2,6,2)),VALUE(RIGHT($B$2,2)))
+ (VALUE(REGEXEXTRACT(INDIRECT(""A""&amp;ROW()+1),""\d+""))-1)*7
+ INT((COLUMN()-COLUMN($B535))/3)
"),47797)</f>
        <v>47797</v>
      </c>
      <c r="C535" s="81"/>
      <c r="D535" s="82"/>
      <c r="E535" s="77">
        <f ca="1">IFERROR(__xludf.DUMMYFUNCTION("DATE(VALUE(LEFT($B$2,4)),VALUE(MID($B$2,6,2)),VALUE(RIGHT($B$2,2)))
+ (VALUE(REGEXEXTRACT(INDIRECT(""A""&amp;ROW()+1),""\d+""))-1)*7
+ INT((COLUMN()-COLUMN($B535))/3)
"),47798)</f>
        <v>47798</v>
      </c>
      <c r="F535" s="81"/>
      <c r="G535" s="82"/>
      <c r="H535" s="77">
        <f ca="1">IFERROR(__xludf.DUMMYFUNCTION("DATE(VALUE(LEFT($B$2,4)),VALUE(MID($B$2,6,2)),VALUE(RIGHT($B$2,2)))
+ (VALUE(REGEXEXTRACT(INDIRECT(""A""&amp;ROW()+1),""\d+""))-1)*7
+ INT((COLUMN()-COLUMN($B535))/3)
"),47799)</f>
        <v>47799</v>
      </c>
      <c r="I535" s="81"/>
      <c r="J535" s="82"/>
      <c r="K535" s="77">
        <f ca="1">IFERROR(__xludf.DUMMYFUNCTION("DATE(VALUE(LEFT($B$2,4)),VALUE(MID($B$2,6,2)),VALUE(RIGHT($B$2,2)))
+ (VALUE(REGEXEXTRACT(INDIRECT(""A""&amp;ROW()+1),""\d+""))-1)*7
+ INT((COLUMN()-COLUMN($B535))/3)
"),47800)</f>
        <v>47800</v>
      </c>
      <c r="L535" s="81"/>
      <c r="M535" s="82"/>
      <c r="N535" s="77">
        <f ca="1">IFERROR(__xludf.DUMMYFUNCTION("DATE(VALUE(LEFT($B$2,4)),VALUE(MID($B$2,6,2)),VALUE(RIGHT($B$2,2)))
+ (VALUE(REGEXEXTRACT(INDIRECT(""A""&amp;ROW()+1),""\d+""))-1)*7
+ INT((COLUMN()-COLUMN($B535))/3)
"),47801)</f>
        <v>47801</v>
      </c>
      <c r="O535" s="81"/>
      <c r="P535" s="82"/>
      <c r="Q535" s="77">
        <f ca="1">IFERROR(__xludf.DUMMYFUNCTION("DATE(VALUE(LEFT($B$2,4)),VALUE(MID($B$2,6,2)),VALUE(RIGHT($B$2,2)))
+ (VALUE(REGEXEXTRACT(INDIRECT(""A""&amp;ROW()+1),""\d+""))-1)*7
+ INT((COLUMN()-COLUMN($B535))/3)
"),47802)</f>
        <v>47802</v>
      </c>
      <c r="R535" s="81"/>
      <c r="S535" s="82"/>
      <c r="T535" s="77">
        <f ca="1">IFERROR(__xludf.DUMMYFUNCTION("DATE(VALUE(LEFT($B$2,4)),VALUE(MID($B$2,6,2)),VALUE(RIGHT($B$2,2)))
+ (VALUE(REGEXEXTRACT(INDIRECT(""A""&amp;ROW()+1),""\d+""))-1)*7
+ INT((COLUMN()-COLUMN($B535))/3)
"),47803)</f>
        <v>47803</v>
      </c>
      <c r="U535" s="81"/>
      <c r="V535" s="82"/>
      <c r="W535" s="143"/>
    </row>
    <row r="536" spans="1:23" ht="15.75" customHeight="1">
      <c r="A536" s="51" t="s">
        <v>174</v>
      </c>
      <c r="B536" s="112"/>
      <c r="C536" s="111"/>
      <c r="D536" s="17">
        <f>V534+C536</f>
        <v>-1459</v>
      </c>
      <c r="E536" s="109"/>
      <c r="F536" s="109"/>
      <c r="G536" s="54">
        <f>D546+F536</f>
        <v>-1459</v>
      </c>
      <c r="H536" s="110"/>
      <c r="I536" s="111"/>
      <c r="J536" s="17">
        <f>G546+I536</f>
        <v>-1459</v>
      </c>
      <c r="K536" s="109"/>
      <c r="L536" s="109"/>
      <c r="M536" s="35">
        <f>J546+L536</f>
        <v>-1459</v>
      </c>
      <c r="N536" s="112"/>
      <c r="O536" s="111"/>
      <c r="P536" s="17">
        <f>M546+O536</f>
        <v>-1459</v>
      </c>
      <c r="Q536" s="109"/>
      <c r="R536" s="109"/>
      <c r="S536" s="35">
        <f>P546+R536</f>
        <v>-1459</v>
      </c>
      <c r="T536" s="112"/>
      <c r="U536" s="111"/>
      <c r="V536" s="48">
        <f>S546+U536</f>
        <v>-1459</v>
      </c>
      <c r="W536" s="143"/>
    </row>
    <row r="537" spans="1:23" ht="15.75" customHeight="1">
      <c r="A537" s="114"/>
      <c r="B537" s="106"/>
      <c r="C537" s="107"/>
      <c r="D537" s="26">
        <f t="shared" ref="D537:D546" si="315">D536+C537</f>
        <v>-1459</v>
      </c>
      <c r="E537" s="117"/>
      <c r="F537" s="117"/>
      <c r="G537" s="19">
        <f t="shared" ref="G537:G546" si="316">G536+F537</f>
        <v>-1459</v>
      </c>
      <c r="H537" s="116"/>
      <c r="I537" s="107"/>
      <c r="J537" s="26">
        <f t="shared" ref="J537:J546" si="317">J536+I537</f>
        <v>-1459</v>
      </c>
      <c r="K537" s="117"/>
      <c r="L537" s="117"/>
      <c r="M537" s="38">
        <f t="shared" ref="M537:M546" si="318">M536+L537</f>
        <v>-1459</v>
      </c>
      <c r="N537" s="106"/>
      <c r="O537" s="107"/>
      <c r="P537" s="26">
        <f t="shared" ref="P537:P546" si="319">P536+O537</f>
        <v>-1459</v>
      </c>
      <c r="Q537" s="117"/>
      <c r="R537" s="117"/>
      <c r="S537" s="38">
        <f t="shared" ref="S537:S546" si="320">S536+R537</f>
        <v>-1459</v>
      </c>
      <c r="T537" s="106"/>
      <c r="U537" s="107"/>
      <c r="V537" s="20">
        <f t="shared" ref="V537:V546" si="321">V536+U537</f>
        <v>-1459</v>
      </c>
      <c r="W537" s="143"/>
    </row>
    <row r="538" spans="1:23" ht="15.75" customHeight="1">
      <c r="A538" s="114"/>
      <c r="B538" s="106"/>
      <c r="C538" s="107"/>
      <c r="D538" s="26">
        <f t="shared" si="315"/>
        <v>-1459</v>
      </c>
      <c r="E538" s="117"/>
      <c r="F538" s="117"/>
      <c r="G538" s="19">
        <f t="shared" si="316"/>
        <v>-1459</v>
      </c>
      <c r="H538" s="116"/>
      <c r="I538" s="107"/>
      <c r="J538" s="26">
        <f t="shared" si="317"/>
        <v>-1459</v>
      </c>
      <c r="K538" s="117"/>
      <c r="L538" s="117"/>
      <c r="M538" s="38">
        <f t="shared" si="318"/>
        <v>-1459</v>
      </c>
      <c r="N538" s="106"/>
      <c r="O538" s="107"/>
      <c r="P538" s="26">
        <f t="shared" si="319"/>
        <v>-1459</v>
      </c>
      <c r="Q538" s="117"/>
      <c r="R538" s="117"/>
      <c r="S538" s="38">
        <f t="shared" si="320"/>
        <v>-1459</v>
      </c>
      <c r="T538" s="106"/>
      <c r="U538" s="116"/>
      <c r="V538" s="20">
        <f t="shared" si="321"/>
        <v>-1459</v>
      </c>
      <c r="W538" s="143"/>
    </row>
    <row r="539" spans="1:23" ht="15.75" customHeight="1">
      <c r="A539" s="114"/>
      <c r="B539" s="106"/>
      <c r="C539" s="107"/>
      <c r="D539" s="26">
        <f t="shared" si="315"/>
        <v>-1459</v>
      </c>
      <c r="E539" s="117"/>
      <c r="F539" s="117"/>
      <c r="G539" s="19">
        <f t="shared" si="316"/>
        <v>-1459</v>
      </c>
      <c r="H539" s="116"/>
      <c r="I539" s="107"/>
      <c r="J539" s="26">
        <f t="shared" si="317"/>
        <v>-1459</v>
      </c>
      <c r="K539" s="117"/>
      <c r="L539" s="117"/>
      <c r="M539" s="38">
        <f t="shared" si="318"/>
        <v>-1459</v>
      </c>
      <c r="N539" s="106"/>
      <c r="O539" s="107"/>
      <c r="P539" s="26">
        <f t="shared" si="319"/>
        <v>-1459</v>
      </c>
      <c r="Q539" s="117"/>
      <c r="R539" s="117"/>
      <c r="S539" s="38">
        <f t="shared" si="320"/>
        <v>-1459</v>
      </c>
      <c r="T539" s="106"/>
      <c r="U539" s="116"/>
      <c r="V539" s="20">
        <f t="shared" si="321"/>
        <v>-1459</v>
      </c>
      <c r="W539" s="143"/>
    </row>
    <row r="540" spans="1:23" ht="15.75" customHeight="1">
      <c r="A540" s="114"/>
      <c r="B540" s="106"/>
      <c r="C540" s="107"/>
      <c r="D540" s="26">
        <f t="shared" si="315"/>
        <v>-1459</v>
      </c>
      <c r="E540" s="117"/>
      <c r="F540" s="117"/>
      <c r="G540" s="19">
        <f t="shared" si="316"/>
        <v>-1459</v>
      </c>
      <c r="H540" s="116"/>
      <c r="I540" s="107"/>
      <c r="J540" s="26">
        <f t="shared" si="317"/>
        <v>-1459</v>
      </c>
      <c r="K540" s="117"/>
      <c r="L540" s="117"/>
      <c r="M540" s="38">
        <f t="shared" si="318"/>
        <v>-1459</v>
      </c>
      <c r="N540" s="106"/>
      <c r="O540" s="107"/>
      <c r="P540" s="26">
        <f t="shared" si="319"/>
        <v>-1459</v>
      </c>
      <c r="Q540" s="117"/>
      <c r="R540" s="117"/>
      <c r="S540" s="38">
        <f t="shared" si="320"/>
        <v>-1459</v>
      </c>
      <c r="T540" s="106"/>
      <c r="U540" s="116"/>
      <c r="V540" s="20">
        <f t="shared" si="321"/>
        <v>-1459</v>
      </c>
      <c r="W540" s="143"/>
    </row>
    <row r="541" spans="1:23" ht="15.75" customHeight="1">
      <c r="A541" s="114"/>
      <c r="B541" s="106"/>
      <c r="C541" s="107"/>
      <c r="D541" s="26">
        <f t="shared" si="315"/>
        <v>-1459</v>
      </c>
      <c r="E541" s="117"/>
      <c r="F541" s="117"/>
      <c r="G541" s="19">
        <f t="shared" si="316"/>
        <v>-1459</v>
      </c>
      <c r="H541" s="116"/>
      <c r="I541" s="107"/>
      <c r="J541" s="26">
        <f t="shared" si="317"/>
        <v>-1459</v>
      </c>
      <c r="K541" s="117"/>
      <c r="L541" s="117"/>
      <c r="M541" s="38">
        <f t="shared" si="318"/>
        <v>-1459</v>
      </c>
      <c r="N541" s="106"/>
      <c r="O541" s="107"/>
      <c r="P541" s="26">
        <f t="shared" si="319"/>
        <v>-1459</v>
      </c>
      <c r="Q541" s="117"/>
      <c r="R541" s="117"/>
      <c r="S541" s="38">
        <f t="shared" si="320"/>
        <v>-1459</v>
      </c>
      <c r="T541" s="106"/>
      <c r="U541" s="116"/>
      <c r="V541" s="20">
        <f t="shared" si="321"/>
        <v>-1459</v>
      </c>
      <c r="W541" s="143"/>
    </row>
    <row r="542" spans="1:23" ht="15.75" customHeight="1">
      <c r="A542" s="114"/>
      <c r="B542" s="106"/>
      <c r="C542" s="107"/>
      <c r="D542" s="26">
        <f t="shared" si="315"/>
        <v>-1459</v>
      </c>
      <c r="E542" s="117"/>
      <c r="F542" s="117"/>
      <c r="G542" s="19">
        <f t="shared" si="316"/>
        <v>-1459</v>
      </c>
      <c r="H542" s="116"/>
      <c r="I542" s="107"/>
      <c r="J542" s="26">
        <f t="shared" si="317"/>
        <v>-1459</v>
      </c>
      <c r="K542" s="117"/>
      <c r="L542" s="117"/>
      <c r="M542" s="38">
        <f t="shared" si="318"/>
        <v>-1459</v>
      </c>
      <c r="N542" s="106"/>
      <c r="O542" s="107"/>
      <c r="P542" s="26">
        <f t="shared" si="319"/>
        <v>-1459</v>
      </c>
      <c r="Q542" s="117"/>
      <c r="R542" s="117"/>
      <c r="S542" s="38">
        <f t="shared" si="320"/>
        <v>-1459</v>
      </c>
      <c r="T542" s="106"/>
      <c r="U542" s="116"/>
      <c r="V542" s="20">
        <f t="shared" si="321"/>
        <v>-1459</v>
      </c>
      <c r="W542" s="143"/>
    </row>
    <row r="543" spans="1:23" ht="15.75" customHeight="1">
      <c r="A543" s="114"/>
      <c r="B543" s="106"/>
      <c r="C543" s="107"/>
      <c r="D543" s="26">
        <f t="shared" si="315"/>
        <v>-1459</v>
      </c>
      <c r="E543" s="117"/>
      <c r="F543" s="117"/>
      <c r="G543" s="19">
        <f t="shared" si="316"/>
        <v>-1459</v>
      </c>
      <c r="H543" s="116"/>
      <c r="I543" s="107"/>
      <c r="J543" s="26">
        <f t="shared" si="317"/>
        <v>-1459</v>
      </c>
      <c r="K543" s="117"/>
      <c r="L543" s="117"/>
      <c r="M543" s="38">
        <f t="shared" si="318"/>
        <v>-1459</v>
      </c>
      <c r="N543" s="106"/>
      <c r="O543" s="107"/>
      <c r="P543" s="26">
        <f t="shared" si="319"/>
        <v>-1459</v>
      </c>
      <c r="Q543" s="117"/>
      <c r="R543" s="117"/>
      <c r="S543" s="38">
        <f t="shared" si="320"/>
        <v>-1459</v>
      </c>
      <c r="T543" s="106"/>
      <c r="U543" s="116"/>
      <c r="V543" s="20">
        <f t="shared" si="321"/>
        <v>-1459</v>
      </c>
      <c r="W543" s="143"/>
    </row>
    <row r="544" spans="1:23" ht="15.75" customHeight="1">
      <c r="A544" s="114"/>
      <c r="B544" s="122"/>
      <c r="C544" s="123"/>
      <c r="D544" s="26">
        <f t="shared" si="315"/>
        <v>-1459</v>
      </c>
      <c r="E544" s="117"/>
      <c r="F544" s="117"/>
      <c r="G544" s="19">
        <f t="shared" si="316"/>
        <v>-1459</v>
      </c>
      <c r="H544" s="124"/>
      <c r="I544" s="123"/>
      <c r="J544" s="26">
        <f t="shared" si="317"/>
        <v>-1459</v>
      </c>
      <c r="K544" s="117"/>
      <c r="L544" s="117"/>
      <c r="M544" s="38">
        <f t="shared" si="318"/>
        <v>-1459</v>
      </c>
      <c r="N544" s="122"/>
      <c r="O544" s="123"/>
      <c r="P544" s="26">
        <f t="shared" si="319"/>
        <v>-1459</v>
      </c>
      <c r="Q544" s="117"/>
      <c r="R544" s="117"/>
      <c r="S544" s="38">
        <f t="shared" si="320"/>
        <v>-1459</v>
      </c>
      <c r="T544" s="106"/>
      <c r="U544" s="116"/>
      <c r="V544" s="20">
        <f t="shared" si="321"/>
        <v>-1459</v>
      </c>
      <c r="W544" s="143"/>
    </row>
    <row r="545" spans="1:23" ht="15.75" customHeight="1">
      <c r="A545" s="114"/>
      <c r="B545" s="122"/>
      <c r="C545" s="123"/>
      <c r="D545" s="26">
        <f t="shared" si="315"/>
        <v>-1459</v>
      </c>
      <c r="E545" s="117"/>
      <c r="F545" s="117"/>
      <c r="G545" s="19">
        <f t="shared" si="316"/>
        <v>-1459</v>
      </c>
      <c r="H545" s="124"/>
      <c r="I545" s="123"/>
      <c r="J545" s="26">
        <f t="shared" si="317"/>
        <v>-1459</v>
      </c>
      <c r="K545" s="117"/>
      <c r="L545" s="117"/>
      <c r="M545" s="38">
        <f t="shared" si="318"/>
        <v>-1459</v>
      </c>
      <c r="N545" s="122"/>
      <c r="O545" s="123"/>
      <c r="P545" s="26">
        <f t="shared" si="319"/>
        <v>-1459</v>
      </c>
      <c r="Q545" s="117"/>
      <c r="R545" s="117"/>
      <c r="S545" s="38">
        <f t="shared" si="320"/>
        <v>-1459</v>
      </c>
      <c r="T545" s="122"/>
      <c r="U545" s="124"/>
      <c r="V545" s="20">
        <f t="shared" si="321"/>
        <v>-1459</v>
      </c>
      <c r="W545" s="143"/>
    </row>
    <row r="546" spans="1:23" ht="15.75" customHeight="1">
      <c r="A546" s="114"/>
      <c r="B546" s="122"/>
      <c r="C546" s="123"/>
      <c r="D546" s="39">
        <f t="shared" si="315"/>
        <v>-1459</v>
      </c>
      <c r="E546" s="128"/>
      <c r="F546" s="128"/>
      <c r="G546" s="55">
        <f t="shared" si="316"/>
        <v>-1459</v>
      </c>
      <c r="H546" s="124"/>
      <c r="I546" s="123"/>
      <c r="J546" s="39">
        <f t="shared" si="317"/>
        <v>-1459</v>
      </c>
      <c r="K546" s="128"/>
      <c r="L546" s="128"/>
      <c r="M546" s="40">
        <f t="shared" si="318"/>
        <v>-1459</v>
      </c>
      <c r="N546" s="122"/>
      <c r="O546" s="123"/>
      <c r="P546" s="39">
        <f t="shared" si="319"/>
        <v>-1459</v>
      </c>
      <c r="Q546" s="128"/>
      <c r="R546" s="128"/>
      <c r="S546" s="40">
        <f t="shared" si="320"/>
        <v>-1459</v>
      </c>
      <c r="T546" s="122"/>
      <c r="U546" s="123"/>
      <c r="V546" s="49">
        <f t="shared" si="321"/>
        <v>-1459</v>
      </c>
      <c r="W546" s="143"/>
    </row>
    <row r="547" spans="1:23" ht="15.75" customHeight="1">
      <c r="A547" s="87"/>
      <c r="B547" s="77">
        <f ca="1">IFERROR(__xludf.DUMMYFUNCTION("DATE(VALUE(LEFT($B$2,4)),VALUE(MID($B$2,6,2)),VALUE(RIGHT($B$2,2)))
+ (VALUE(REGEXEXTRACT(INDIRECT(""A""&amp;ROW()+1),""\d+""))-1)*7
+ INT((COLUMN()-COLUMN($B547))/3)
"),47804)</f>
        <v>47804</v>
      </c>
      <c r="C547" s="81"/>
      <c r="D547" s="82"/>
      <c r="E547" s="77">
        <f ca="1">IFERROR(__xludf.DUMMYFUNCTION("DATE(VALUE(LEFT($B$2,4)),VALUE(MID($B$2,6,2)),VALUE(RIGHT($B$2,2)))
+ (VALUE(REGEXEXTRACT(INDIRECT(""A""&amp;ROW()+1),""\d+""))-1)*7
+ INT((COLUMN()-COLUMN($B547))/3)
"),47805)</f>
        <v>47805</v>
      </c>
      <c r="F547" s="81"/>
      <c r="G547" s="82"/>
      <c r="H547" s="77">
        <f ca="1">IFERROR(__xludf.DUMMYFUNCTION("DATE(VALUE(LEFT($B$2,4)),VALUE(MID($B$2,6,2)),VALUE(RIGHT($B$2,2)))
+ (VALUE(REGEXEXTRACT(INDIRECT(""A""&amp;ROW()+1),""\d+""))-1)*7
+ INT((COLUMN()-COLUMN($B547))/3)
"),47806)</f>
        <v>47806</v>
      </c>
      <c r="I547" s="81"/>
      <c r="J547" s="82"/>
      <c r="K547" s="77">
        <f ca="1">IFERROR(__xludf.DUMMYFUNCTION("DATE(VALUE(LEFT($B$2,4)),VALUE(MID($B$2,6,2)),VALUE(RIGHT($B$2,2)))
+ (VALUE(REGEXEXTRACT(INDIRECT(""A""&amp;ROW()+1),""\d+""))-1)*7
+ INT((COLUMN()-COLUMN($B547))/3)
"),47807)</f>
        <v>47807</v>
      </c>
      <c r="L547" s="81"/>
      <c r="M547" s="82"/>
      <c r="N547" s="77">
        <f ca="1">IFERROR(__xludf.DUMMYFUNCTION("DATE(VALUE(LEFT($B$2,4)),VALUE(MID($B$2,6,2)),VALUE(RIGHT($B$2,2)))
+ (VALUE(REGEXEXTRACT(INDIRECT(""A""&amp;ROW()+1),""\d+""))-1)*7
+ INT((COLUMN()-COLUMN($B547))/3)
"),47808)</f>
        <v>47808</v>
      </c>
      <c r="O547" s="81"/>
      <c r="P547" s="82"/>
      <c r="Q547" s="77">
        <f ca="1">IFERROR(__xludf.DUMMYFUNCTION("DATE(VALUE(LEFT($B$2,4)),VALUE(MID($B$2,6,2)),VALUE(RIGHT($B$2,2)))
+ (VALUE(REGEXEXTRACT(INDIRECT(""A""&amp;ROW()+1),""\d+""))-1)*7
+ INT((COLUMN()-COLUMN($B547))/3)
"),47809)</f>
        <v>47809</v>
      </c>
      <c r="R547" s="81"/>
      <c r="S547" s="82"/>
      <c r="T547" s="77">
        <f ca="1">IFERROR(__xludf.DUMMYFUNCTION("DATE(VALUE(LEFT($B$2,4)),VALUE(MID($B$2,6,2)),VALUE(RIGHT($B$2,2)))
+ (VALUE(REGEXEXTRACT(INDIRECT(""A""&amp;ROW()+1),""\d+""))-1)*7
+ INT((COLUMN()-COLUMN($B547))/3)
"),47810)</f>
        <v>47810</v>
      </c>
      <c r="U547" s="81"/>
      <c r="V547" s="82"/>
      <c r="W547" s="52" t="s">
        <v>20</v>
      </c>
    </row>
    <row r="548" spans="1:23" ht="15.75" customHeight="1">
      <c r="A548" s="47" t="s">
        <v>175</v>
      </c>
      <c r="B548" s="109"/>
      <c r="C548" s="109"/>
      <c r="D548" s="42">
        <f>V546+C548</f>
        <v>-1459</v>
      </c>
      <c r="E548" s="112"/>
      <c r="F548" s="111"/>
      <c r="G548" s="36">
        <f>D558+F548</f>
        <v>-1459</v>
      </c>
      <c r="H548" s="132"/>
      <c r="I548" s="109"/>
      <c r="J548" s="42">
        <f>G558+I548</f>
        <v>-1459</v>
      </c>
      <c r="K548" s="112"/>
      <c r="L548" s="111"/>
      <c r="M548" s="18">
        <f>J558+L548</f>
        <v>-1459</v>
      </c>
      <c r="N548" s="113"/>
      <c r="O548" s="109"/>
      <c r="P548" s="35">
        <f>M558+O548</f>
        <v>-1459</v>
      </c>
      <c r="Q548" s="112"/>
      <c r="R548" s="111"/>
      <c r="S548" s="18">
        <f>P558+R548</f>
        <v>-1459</v>
      </c>
      <c r="T548" s="173"/>
      <c r="U548" s="173"/>
      <c r="V548" s="50">
        <f>S558+U548</f>
        <v>-1459</v>
      </c>
      <c r="W548" s="172"/>
    </row>
    <row r="549" spans="1:23" ht="15.75" customHeight="1">
      <c r="A549" s="114"/>
      <c r="B549" s="117"/>
      <c r="C549" s="117"/>
      <c r="D549" s="19">
        <f t="shared" ref="D549:D558" si="322">D548+C549</f>
        <v>-1459</v>
      </c>
      <c r="E549" s="106"/>
      <c r="F549" s="107"/>
      <c r="G549" s="26">
        <f t="shared" ref="G549:G558" si="323">G548+F549</f>
        <v>-1459</v>
      </c>
      <c r="H549" s="133"/>
      <c r="I549" s="117"/>
      <c r="J549" s="19">
        <f t="shared" ref="J549:J558" si="324">J548+I549</f>
        <v>-1459</v>
      </c>
      <c r="K549" s="106"/>
      <c r="L549" s="107"/>
      <c r="M549" s="26">
        <f t="shared" ref="M549:M558" si="325">M548+L549</f>
        <v>-1459</v>
      </c>
      <c r="N549" s="118"/>
      <c r="O549" s="117"/>
      <c r="P549" s="38">
        <f t="shared" ref="P549:P558" si="326">P548+O549</f>
        <v>-1459</v>
      </c>
      <c r="Q549" s="106"/>
      <c r="R549" s="107"/>
      <c r="S549" s="26">
        <f t="shared" ref="S549:S558" si="327">S548+R549</f>
        <v>-1459</v>
      </c>
      <c r="T549" s="136"/>
      <c r="U549" s="136"/>
      <c r="V549" s="45">
        <f t="shared" ref="V549:V558" si="328">V548+U549</f>
        <v>-1459</v>
      </c>
      <c r="W549" s="143"/>
    </row>
    <row r="550" spans="1:23" ht="15.75" customHeight="1">
      <c r="A550" s="114"/>
      <c r="B550" s="118"/>
      <c r="C550" s="117"/>
      <c r="D550" s="19">
        <f t="shared" si="322"/>
        <v>-1459</v>
      </c>
      <c r="E550" s="106"/>
      <c r="F550" s="107"/>
      <c r="G550" s="26">
        <f t="shared" si="323"/>
        <v>-1459</v>
      </c>
      <c r="H550" s="133"/>
      <c r="I550" s="117"/>
      <c r="J550" s="19">
        <f t="shared" si="324"/>
        <v>-1459</v>
      </c>
      <c r="K550" s="106"/>
      <c r="L550" s="107"/>
      <c r="M550" s="26">
        <f t="shared" si="325"/>
        <v>-1459</v>
      </c>
      <c r="N550" s="117"/>
      <c r="O550" s="117"/>
      <c r="P550" s="38">
        <f t="shared" si="326"/>
        <v>-1459</v>
      </c>
      <c r="Q550" s="106"/>
      <c r="R550" s="107"/>
      <c r="S550" s="26">
        <f t="shared" si="327"/>
        <v>-1459</v>
      </c>
      <c r="T550" s="136"/>
      <c r="U550" s="136"/>
      <c r="V550" s="45">
        <f t="shared" si="328"/>
        <v>-1459</v>
      </c>
      <c r="W550" s="143"/>
    </row>
    <row r="551" spans="1:23" ht="15.75" customHeight="1">
      <c r="A551" s="114"/>
      <c r="B551" s="118"/>
      <c r="C551" s="117"/>
      <c r="D551" s="19">
        <f t="shared" si="322"/>
        <v>-1459</v>
      </c>
      <c r="E551" s="106"/>
      <c r="F551" s="107"/>
      <c r="G551" s="26">
        <f t="shared" si="323"/>
        <v>-1459</v>
      </c>
      <c r="H551" s="133"/>
      <c r="I551" s="117"/>
      <c r="J551" s="19">
        <f t="shared" si="324"/>
        <v>-1459</v>
      </c>
      <c r="K551" s="106"/>
      <c r="L551" s="107"/>
      <c r="M551" s="26">
        <f t="shared" si="325"/>
        <v>-1459</v>
      </c>
      <c r="N551" s="117"/>
      <c r="O551" s="117"/>
      <c r="P551" s="38">
        <f t="shared" si="326"/>
        <v>-1459</v>
      </c>
      <c r="Q551" s="106"/>
      <c r="R551" s="107"/>
      <c r="S551" s="26">
        <f t="shared" si="327"/>
        <v>-1459</v>
      </c>
      <c r="T551" s="136"/>
      <c r="U551" s="136"/>
      <c r="V551" s="45">
        <f t="shared" si="328"/>
        <v>-1459</v>
      </c>
      <c r="W551" s="143"/>
    </row>
    <row r="552" spans="1:23" ht="15.75" customHeight="1">
      <c r="A552" s="114"/>
      <c r="B552" s="118"/>
      <c r="C552" s="117"/>
      <c r="D552" s="19">
        <f t="shared" si="322"/>
        <v>-1459</v>
      </c>
      <c r="E552" s="106"/>
      <c r="F552" s="107"/>
      <c r="G552" s="26">
        <f t="shared" si="323"/>
        <v>-1459</v>
      </c>
      <c r="H552" s="133"/>
      <c r="I552" s="117"/>
      <c r="J552" s="19">
        <f t="shared" si="324"/>
        <v>-1459</v>
      </c>
      <c r="K552" s="106"/>
      <c r="L552" s="107"/>
      <c r="M552" s="26">
        <f t="shared" si="325"/>
        <v>-1459</v>
      </c>
      <c r="N552" s="117"/>
      <c r="O552" s="117"/>
      <c r="P552" s="38">
        <f t="shared" si="326"/>
        <v>-1459</v>
      </c>
      <c r="Q552" s="106"/>
      <c r="R552" s="107"/>
      <c r="S552" s="26">
        <f t="shared" si="327"/>
        <v>-1459</v>
      </c>
      <c r="T552" s="136"/>
      <c r="U552" s="136"/>
      <c r="V552" s="45">
        <f t="shared" si="328"/>
        <v>-1459</v>
      </c>
      <c r="W552" s="143"/>
    </row>
    <row r="553" spans="1:23" ht="15.75" customHeight="1">
      <c r="A553" s="114"/>
      <c r="B553" s="118"/>
      <c r="C553" s="117"/>
      <c r="D553" s="19">
        <f t="shared" si="322"/>
        <v>-1459</v>
      </c>
      <c r="E553" s="106"/>
      <c r="F553" s="107"/>
      <c r="G553" s="26">
        <f t="shared" si="323"/>
        <v>-1459</v>
      </c>
      <c r="H553" s="133"/>
      <c r="I553" s="117"/>
      <c r="J553" s="19">
        <f t="shared" si="324"/>
        <v>-1459</v>
      </c>
      <c r="K553" s="106"/>
      <c r="L553" s="107"/>
      <c r="M553" s="26">
        <f t="shared" si="325"/>
        <v>-1459</v>
      </c>
      <c r="N553" s="117"/>
      <c r="O553" s="117"/>
      <c r="P553" s="38">
        <f t="shared" si="326"/>
        <v>-1459</v>
      </c>
      <c r="Q553" s="106"/>
      <c r="R553" s="107"/>
      <c r="S553" s="26">
        <f t="shared" si="327"/>
        <v>-1459</v>
      </c>
      <c r="T553" s="136"/>
      <c r="U553" s="136"/>
      <c r="V553" s="45">
        <f t="shared" si="328"/>
        <v>-1459</v>
      </c>
      <c r="W553" s="143"/>
    </row>
    <row r="554" spans="1:23" ht="15.75" customHeight="1">
      <c r="A554" s="114"/>
      <c r="B554" s="118"/>
      <c r="C554" s="117"/>
      <c r="D554" s="19">
        <f t="shared" si="322"/>
        <v>-1459</v>
      </c>
      <c r="E554" s="106"/>
      <c r="F554" s="107"/>
      <c r="G554" s="26">
        <f t="shared" si="323"/>
        <v>-1459</v>
      </c>
      <c r="H554" s="133"/>
      <c r="I554" s="117"/>
      <c r="J554" s="19">
        <f t="shared" si="324"/>
        <v>-1459</v>
      </c>
      <c r="K554" s="106"/>
      <c r="L554" s="107"/>
      <c r="M554" s="26">
        <f t="shared" si="325"/>
        <v>-1459</v>
      </c>
      <c r="N554" s="117"/>
      <c r="O554" s="117"/>
      <c r="P554" s="38">
        <f t="shared" si="326"/>
        <v>-1459</v>
      </c>
      <c r="Q554" s="106"/>
      <c r="R554" s="107"/>
      <c r="S554" s="26">
        <f t="shared" si="327"/>
        <v>-1459</v>
      </c>
      <c r="T554" s="136"/>
      <c r="U554" s="136"/>
      <c r="V554" s="45">
        <f t="shared" si="328"/>
        <v>-1459</v>
      </c>
      <c r="W554" s="143"/>
    </row>
    <row r="555" spans="1:23" ht="15.75" customHeight="1">
      <c r="A555" s="114"/>
      <c r="B555" s="118"/>
      <c r="C555" s="117"/>
      <c r="D555" s="19">
        <f t="shared" si="322"/>
        <v>-1459</v>
      </c>
      <c r="E555" s="106"/>
      <c r="F555" s="107"/>
      <c r="G555" s="26">
        <f t="shared" si="323"/>
        <v>-1459</v>
      </c>
      <c r="H555" s="133"/>
      <c r="I555" s="117"/>
      <c r="J555" s="19">
        <f t="shared" si="324"/>
        <v>-1459</v>
      </c>
      <c r="K555" s="106"/>
      <c r="L555" s="107"/>
      <c r="M555" s="26">
        <f t="shared" si="325"/>
        <v>-1459</v>
      </c>
      <c r="N555" s="117"/>
      <c r="O555" s="117"/>
      <c r="P555" s="38">
        <f t="shared" si="326"/>
        <v>-1459</v>
      </c>
      <c r="Q555" s="106"/>
      <c r="R555" s="107"/>
      <c r="S555" s="26">
        <f t="shared" si="327"/>
        <v>-1459</v>
      </c>
      <c r="T555" s="136"/>
      <c r="U555" s="136"/>
      <c r="V555" s="45">
        <f t="shared" si="328"/>
        <v>-1459</v>
      </c>
      <c r="W555" s="143"/>
    </row>
    <row r="556" spans="1:23" ht="15.75" customHeight="1">
      <c r="A556" s="114"/>
      <c r="B556" s="117"/>
      <c r="C556" s="117"/>
      <c r="D556" s="19">
        <f t="shared" si="322"/>
        <v>-1459</v>
      </c>
      <c r="E556" s="106"/>
      <c r="F556" s="107"/>
      <c r="G556" s="26">
        <f t="shared" si="323"/>
        <v>-1459</v>
      </c>
      <c r="H556" s="133"/>
      <c r="I556" s="117"/>
      <c r="J556" s="19">
        <f t="shared" si="324"/>
        <v>-1459</v>
      </c>
      <c r="K556" s="106"/>
      <c r="L556" s="107"/>
      <c r="M556" s="26">
        <f t="shared" si="325"/>
        <v>-1459</v>
      </c>
      <c r="N556" s="117"/>
      <c r="O556" s="117"/>
      <c r="P556" s="38">
        <f t="shared" si="326"/>
        <v>-1459</v>
      </c>
      <c r="Q556" s="106"/>
      <c r="R556" s="107"/>
      <c r="S556" s="26">
        <f t="shared" si="327"/>
        <v>-1459</v>
      </c>
      <c r="T556" s="136"/>
      <c r="U556" s="136"/>
      <c r="V556" s="45">
        <f t="shared" si="328"/>
        <v>-1459</v>
      </c>
      <c r="W556" s="143"/>
    </row>
    <row r="557" spans="1:23" ht="15.75" customHeight="1">
      <c r="A557" s="114"/>
      <c r="B557" s="117"/>
      <c r="C557" s="117"/>
      <c r="D557" s="19">
        <f t="shared" si="322"/>
        <v>-1459</v>
      </c>
      <c r="E557" s="122"/>
      <c r="F557" s="123"/>
      <c r="G557" s="26">
        <f t="shared" si="323"/>
        <v>-1459</v>
      </c>
      <c r="H557" s="133"/>
      <c r="I557" s="117"/>
      <c r="J557" s="19">
        <f t="shared" si="324"/>
        <v>-1459</v>
      </c>
      <c r="K557" s="122"/>
      <c r="L557" s="123"/>
      <c r="M557" s="26">
        <f t="shared" si="325"/>
        <v>-1459</v>
      </c>
      <c r="N557" s="117"/>
      <c r="O557" s="117"/>
      <c r="P557" s="38">
        <f t="shared" si="326"/>
        <v>-1459</v>
      </c>
      <c r="Q557" s="122"/>
      <c r="R557" s="123"/>
      <c r="S557" s="26">
        <f t="shared" si="327"/>
        <v>-1459</v>
      </c>
      <c r="T557" s="136"/>
      <c r="U557" s="136"/>
      <c r="V557" s="45">
        <f t="shared" si="328"/>
        <v>-1459</v>
      </c>
      <c r="W557" s="143"/>
    </row>
    <row r="558" spans="1:23" ht="15.75" customHeight="1">
      <c r="A558" s="114"/>
      <c r="B558" s="128"/>
      <c r="C558" s="128"/>
      <c r="D558" s="29">
        <f t="shared" si="322"/>
        <v>-1459</v>
      </c>
      <c r="E558" s="122"/>
      <c r="F558" s="123"/>
      <c r="G558" s="53">
        <f t="shared" si="323"/>
        <v>-1459</v>
      </c>
      <c r="H558" s="140"/>
      <c r="I558" s="128"/>
      <c r="J558" s="29">
        <f t="shared" si="324"/>
        <v>-1459</v>
      </c>
      <c r="K558" s="122"/>
      <c r="L558" s="123"/>
      <c r="M558" s="39">
        <f t="shared" si="325"/>
        <v>-1459</v>
      </c>
      <c r="N558" s="128"/>
      <c r="O558" s="128"/>
      <c r="P558" s="40">
        <f t="shared" si="326"/>
        <v>-1459</v>
      </c>
      <c r="Q558" s="122"/>
      <c r="R558" s="123"/>
      <c r="S558" s="39">
        <f t="shared" si="327"/>
        <v>-1459</v>
      </c>
      <c r="T558" s="141"/>
      <c r="U558" s="141"/>
      <c r="V558" s="46">
        <f t="shared" si="328"/>
        <v>-1459</v>
      </c>
      <c r="W558" s="143"/>
    </row>
    <row r="559" spans="1:23" ht="15.75" customHeight="1">
      <c r="A559" s="87"/>
      <c r="B559" s="77">
        <f ca="1">IFERROR(__xludf.DUMMYFUNCTION("DATE(VALUE(LEFT($B$2,4)),VALUE(MID($B$2,6,2)),VALUE(RIGHT($B$2,2)))
+ (VALUE(REGEXEXTRACT(INDIRECT(""A""&amp;ROW()+1),""\d+""))-1)*7
+ INT((COLUMN()-COLUMN($B559))/3)
"),47811)</f>
        <v>47811</v>
      </c>
      <c r="C559" s="81"/>
      <c r="D559" s="82"/>
      <c r="E559" s="77">
        <f ca="1">IFERROR(__xludf.DUMMYFUNCTION("DATE(VALUE(LEFT($B$2,4)),VALUE(MID($B$2,6,2)),VALUE(RIGHT($B$2,2)))
+ (VALUE(REGEXEXTRACT(INDIRECT(""A""&amp;ROW()+1),""\d+""))-1)*7
+ INT((COLUMN()-COLUMN($B559))/3)
"),47812)</f>
        <v>47812</v>
      </c>
      <c r="F559" s="81"/>
      <c r="G559" s="82"/>
      <c r="H559" s="77">
        <f ca="1">IFERROR(__xludf.DUMMYFUNCTION("DATE(VALUE(LEFT($B$2,4)),VALUE(MID($B$2,6,2)),VALUE(RIGHT($B$2,2)))
+ (VALUE(REGEXEXTRACT(INDIRECT(""A""&amp;ROW()+1),""\d+""))-1)*7
+ INT((COLUMN()-COLUMN($B559))/3)
"),47813)</f>
        <v>47813</v>
      </c>
      <c r="I559" s="81"/>
      <c r="J559" s="82"/>
      <c r="K559" s="77">
        <f ca="1">IFERROR(__xludf.DUMMYFUNCTION("DATE(VALUE(LEFT($B$2,4)),VALUE(MID($B$2,6,2)),VALUE(RIGHT($B$2,2)))
+ (VALUE(REGEXEXTRACT(INDIRECT(""A""&amp;ROW()+1),""\d+""))-1)*7
+ INT((COLUMN()-COLUMN($B559))/3)
"),47814)</f>
        <v>47814</v>
      </c>
      <c r="L559" s="81"/>
      <c r="M559" s="82"/>
      <c r="N559" s="77">
        <f ca="1">IFERROR(__xludf.DUMMYFUNCTION("DATE(VALUE(LEFT($B$2,4)),VALUE(MID($B$2,6,2)),VALUE(RIGHT($B$2,2)))
+ (VALUE(REGEXEXTRACT(INDIRECT(""A""&amp;ROW()+1),""\d+""))-1)*7
+ INT((COLUMN()-COLUMN($B559))/3)
"),47815)</f>
        <v>47815</v>
      </c>
      <c r="O559" s="81"/>
      <c r="P559" s="82"/>
      <c r="Q559" s="77">
        <f ca="1">IFERROR(__xludf.DUMMYFUNCTION("DATE(VALUE(LEFT($B$2,4)),VALUE(MID($B$2,6,2)),VALUE(RIGHT($B$2,2)))
+ (VALUE(REGEXEXTRACT(INDIRECT(""A""&amp;ROW()+1),""\d+""))-1)*7
+ INT((COLUMN()-COLUMN($B559))/3)
"),47816)</f>
        <v>47816</v>
      </c>
      <c r="R559" s="81"/>
      <c r="S559" s="82"/>
      <c r="T559" s="77">
        <f ca="1">IFERROR(__xludf.DUMMYFUNCTION("DATE(VALUE(LEFT($B$2,4)),VALUE(MID($B$2,6,2)),VALUE(RIGHT($B$2,2)))
+ (VALUE(REGEXEXTRACT(INDIRECT(""A""&amp;ROW()+1),""\d+""))-1)*7
+ INT((COLUMN()-COLUMN($B559))/3)
"),47817)</f>
        <v>47817</v>
      </c>
      <c r="U559" s="81"/>
      <c r="V559" s="82"/>
      <c r="W559" s="143"/>
    </row>
    <row r="560" spans="1:23" ht="15.75" customHeight="1">
      <c r="A560" s="51" t="s">
        <v>176</v>
      </c>
      <c r="B560" s="112"/>
      <c r="C560" s="111"/>
      <c r="D560" s="17">
        <f>V558+C560</f>
        <v>-1459</v>
      </c>
      <c r="E560" s="109"/>
      <c r="F560" s="109"/>
      <c r="G560" s="42">
        <f>D570+F560</f>
        <v>-1459</v>
      </c>
      <c r="H560" s="112"/>
      <c r="I560" s="111"/>
      <c r="J560" s="17">
        <f>G570+I560</f>
        <v>-1459</v>
      </c>
      <c r="K560" s="109"/>
      <c r="L560" s="109"/>
      <c r="M560" s="35">
        <f>J570+L560</f>
        <v>-1459</v>
      </c>
      <c r="N560" s="112"/>
      <c r="O560" s="111"/>
      <c r="P560" s="17">
        <f>M570+O560</f>
        <v>-1459</v>
      </c>
      <c r="Q560" s="109"/>
      <c r="R560" s="109"/>
      <c r="S560" s="35">
        <f>P570+R560</f>
        <v>-1459</v>
      </c>
      <c r="T560" s="112"/>
      <c r="U560" s="111"/>
      <c r="V560" s="48">
        <f>S570+U560</f>
        <v>-1459</v>
      </c>
      <c r="W560" s="143"/>
    </row>
    <row r="561" spans="1:23" ht="15.75" customHeight="1">
      <c r="A561" s="114"/>
      <c r="B561" s="106"/>
      <c r="C561" s="107"/>
      <c r="D561" s="26">
        <f t="shared" ref="D561:D570" si="329">D560+C561</f>
        <v>-1459</v>
      </c>
      <c r="E561" s="117"/>
      <c r="F561" s="117"/>
      <c r="G561" s="19">
        <f t="shared" ref="G561:G570" si="330">G560+F561</f>
        <v>-1459</v>
      </c>
      <c r="H561" s="106"/>
      <c r="I561" s="107"/>
      <c r="J561" s="26">
        <f t="shared" ref="J561:J570" si="331">J560+I561</f>
        <v>-1459</v>
      </c>
      <c r="K561" s="117"/>
      <c r="L561" s="117"/>
      <c r="M561" s="38">
        <f t="shared" ref="M561:M570" si="332">M560+L561</f>
        <v>-1459</v>
      </c>
      <c r="N561" s="106"/>
      <c r="O561" s="107"/>
      <c r="P561" s="26">
        <f t="shared" ref="P561:P570" si="333">P560+O561</f>
        <v>-1459</v>
      </c>
      <c r="Q561" s="117"/>
      <c r="R561" s="117"/>
      <c r="S561" s="38">
        <f t="shared" ref="S561:S570" si="334">S560+R561</f>
        <v>-1459</v>
      </c>
      <c r="T561" s="106"/>
      <c r="U561" s="107"/>
      <c r="V561" s="20">
        <f t="shared" ref="V561:V570" si="335">V560+U561</f>
        <v>-1459</v>
      </c>
      <c r="W561" s="143"/>
    </row>
    <row r="562" spans="1:23" ht="15.75" customHeight="1">
      <c r="A562" s="114"/>
      <c r="B562" s="106"/>
      <c r="C562" s="107"/>
      <c r="D562" s="26">
        <f t="shared" si="329"/>
        <v>-1459</v>
      </c>
      <c r="E562" s="117"/>
      <c r="F562" s="117"/>
      <c r="G562" s="19">
        <f t="shared" si="330"/>
        <v>-1459</v>
      </c>
      <c r="H562" s="106"/>
      <c r="I562" s="107"/>
      <c r="J562" s="26">
        <f t="shared" si="331"/>
        <v>-1459</v>
      </c>
      <c r="K562" s="117"/>
      <c r="L562" s="117"/>
      <c r="M562" s="38">
        <f t="shared" si="332"/>
        <v>-1459</v>
      </c>
      <c r="N562" s="106"/>
      <c r="O562" s="107"/>
      <c r="P562" s="26">
        <f t="shared" si="333"/>
        <v>-1459</v>
      </c>
      <c r="Q562" s="117"/>
      <c r="R562" s="117"/>
      <c r="S562" s="38">
        <f t="shared" si="334"/>
        <v>-1459</v>
      </c>
      <c r="T562" s="106"/>
      <c r="U562" s="116"/>
      <c r="V562" s="20">
        <f t="shared" si="335"/>
        <v>-1459</v>
      </c>
      <c r="W562" s="143"/>
    </row>
    <row r="563" spans="1:23" ht="15.75" customHeight="1">
      <c r="A563" s="114"/>
      <c r="B563" s="106"/>
      <c r="C563" s="107"/>
      <c r="D563" s="26">
        <f t="shared" si="329"/>
        <v>-1459</v>
      </c>
      <c r="E563" s="117"/>
      <c r="F563" s="117"/>
      <c r="G563" s="19">
        <f t="shared" si="330"/>
        <v>-1459</v>
      </c>
      <c r="H563" s="106"/>
      <c r="I563" s="107"/>
      <c r="J563" s="26">
        <f t="shared" si="331"/>
        <v>-1459</v>
      </c>
      <c r="K563" s="117"/>
      <c r="L563" s="117"/>
      <c r="M563" s="38">
        <f t="shared" si="332"/>
        <v>-1459</v>
      </c>
      <c r="N563" s="106"/>
      <c r="O563" s="107"/>
      <c r="P563" s="26">
        <f t="shared" si="333"/>
        <v>-1459</v>
      </c>
      <c r="Q563" s="117"/>
      <c r="R563" s="117"/>
      <c r="S563" s="38">
        <f t="shared" si="334"/>
        <v>-1459</v>
      </c>
      <c r="T563" s="106"/>
      <c r="U563" s="116"/>
      <c r="V563" s="20">
        <f t="shared" si="335"/>
        <v>-1459</v>
      </c>
      <c r="W563" s="143"/>
    </row>
    <row r="564" spans="1:23" ht="15.75" customHeight="1">
      <c r="A564" s="114"/>
      <c r="B564" s="106"/>
      <c r="C564" s="107"/>
      <c r="D564" s="26">
        <f t="shared" si="329"/>
        <v>-1459</v>
      </c>
      <c r="E564" s="117"/>
      <c r="F564" s="117"/>
      <c r="G564" s="19">
        <f t="shared" si="330"/>
        <v>-1459</v>
      </c>
      <c r="H564" s="106"/>
      <c r="I564" s="107"/>
      <c r="J564" s="26">
        <f t="shared" si="331"/>
        <v>-1459</v>
      </c>
      <c r="K564" s="117"/>
      <c r="L564" s="117"/>
      <c r="M564" s="38">
        <f t="shared" si="332"/>
        <v>-1459</v>
      </c>
      <c r="N564" s="106"/>
      <c r="O564" s="107"/>
      <c r="P564" s="26">
        <f t="shared" si="333"/>
        <v>-1459</v>
      </c>
      <c r="Q564" s="117"/>
      <c r="R564" s="117"/>
      <c r="S564" s="38">
        <f t="shared" si="334"/>
        <v>-1459</v>
      </c>
      <c r="T564" s="106"/>
      <c r="U564" s="116"/>
      <c r="V564" s="20">
        <f t="shared" si="335"/>
        <v>-1459</v>
      </c>
      <c r="W564" s="143"/>
    </row>
    <row r="565" spans="1:23" ht="15.75" customHeight="1">
      <c r="A565" s="114"/>
      <c r="B565" s="106"/>
      <c r="C565" s="107"/>
      <c r="D565" s="26">
        <f t="shared" si="329"/>
        <v>-1459</v>
      </c>
      <c r="E565" s="117"/>
      <c r="F565" s="117"/>
      <c r="G565" s="19">
        <f t="shared" si="330"/>
        <v>-1459</v>
      </c>
      <c r="H565" s="106"/>
      <c r="I565" s="107"/>
      <c r="J565" s="26">
        <f t="shared" si="331"/>
        <v>-1459</v>
      </c>
      <c r="K565" s="117"/>
      <c r="L565" s="117"/>
      <c r="M565" s="38">
        <f t="shared" si="332"/>
        <v>-1459</v>
      </c>
      <c r="N565" s="106"/>
      <c r="O565" s="107"/>
      <c r="P565" s="26">
        <f t="shared" si="333"/>
        <v>-1459</v>
      </c>
      <c r="Q565" s="117"/>
      <c r="R565" s="117"/>
      <c r="S565" s="38">
        <f t="shared" si="334"/>
        <v>-1459</v>
      </c>
      <c r="T565" s="106"/>
      <c r="U565" s="116"/>
      <c r="V565" s="20">
        <f t="shared" si="335"/>
        <v>-1459</v>
      </c>
      <c r="W565" s="143"/>
    </row>
    <row r="566" spans="1:23" ht="15.75" customHeight="1">
      <c r="A566" s="114"/>
      <c r="B566" s="106"/>
      <c r="C566" s="107"/>
      <c r="D566" s="26">
        <f t="shared" si="329"/>
        <v>-1459</v>
      </c>
      <c r="E566" s="117"/>
      <c r="F566" s="117"/>
      <c r="G566" s="19">
        <f t="shared" si="330"/>
        <v>-1459</v>
      </c>
      <c r="H566" s="106"/>
      <c r="I566" s="107"/>
      <c r="J566" s="26">
        <f t="shared" si="331"/>
        <v>-1459</v>
      </c>
      <c r="K566" s="117"/>
      <c r="L566" s="117"/>
      <c r="M566" s="38">
        <f t="shared" si="332"/>
        <v>-1459</v>
      </c>
      <c r="N566" s="106"/>
      <c r="O566" s="107"/>
      <c r="P566" s="26">
        <f t="shared" si="333"/>
        <v>-1459</v>
      </c>
      <c r="Q566" s="117"/>
      <c r="R566" s="117"/>
      <c r="S566" s="38">
        <f t="shared" si="334"/>
        <v>-1459</v>
      </c>
      <c r="T566" s="106"/>
      <c r="U566" s="116"/>
      <c r="V566" s="20">
        <f t="shared" si="335"/>
        <v>-1459</v>
      </c>
      <c r="W566" s="143"/>
    </row>
    <row r="567" spans="1:23" ht="15.75" customHeight="1">
      <c r="A567" s="114"/>
      <c r="B567" s="106"/>
      <c r="C567" s="107"/>
      <c r="D567" s="26">
        <f t="shared" si="329"/>
        <v>-1459</v>
      </c>
      <c r="E567" s="117"/>
      <c r="F567" s="117"/>
      <c r="G567" s="19">
        <f t="shared" si="330"/>
        <v>-1459</v>
      </c>
      <c r="H567" s="106"/>
      <c r="I567" s="107"/>
      <c r="J567" s="26">
        <f t="shared" si="331"/>
        <v>-1459</v>
      </c>
      <c r="K567" s="117"/>
      <c r="L567" s="117"/>
      <c r="M567" s="38">
        <f t="shared" si="332"/>
        <v>-1459</v>
      </c>
      <c r="N567" s="106"/>
      <c r="O567" s="107"/>
      <c r="P567" s="26">
        <f t="shared" si="333"/>
        <v>-1459</v>
      </c>
      <c r="Q567" s="117"/>
      <c r="R567" s="117"/>
      <c r="S567" s="38">
        <f t="shared" si="334"/>
        <v>-1459</v>
      </c>
      <c r="T567" s="106"/>
      <c r="U567" s="116"/>
      <c r="V567" s="20">
        <f t="shared" si="335"/>
        <v>-1459</v>
      </c>
      <c r="W567" s="143"/>
    </row>
    <row r="568" spans="1:23" ht="15.75" customHeight="1">
      <c r="A568" s="114"/>
      <c r="B568" s="122"/>
      <c r="C568" s="123"/>
      <c r="D568" s="26">
        <f t="shared" si="329"/>
        <v>-1459</v>
      </c>
      <c r="E568" s="117"/>
      <c r="F568" s="117"/>
      <c r="G568" s="19">
        <f t="shared" si="330"/>
        <v>-1459</v>
      </c>
      <c r="H568" s="122"/>
      <c r="I568" s="123"/>
      <c r="J568" s="26">
        <f t="shared" si="331"/>
        <v>-1459</v>
      </c>
      <c r="K568" s="117"/>
      <c r="L568" s="117"/>
      <c r="M568" s="38">
        <f t="shared" si="332"/>
        <v>-1459</v>
      </c>
      <c r="N568" s="122"/>
      <c r="O568" s="123"/>
      <c r="P568" s="26">
        <f t="shared" si="333"/>
        <v>-1459</v>
      </c>
      <c r="Q568" s="117"/>
      <c r="R568" s="117"/>
      <c r="S568" s="38">
        <f t="shared" si="334"/>
        <v>-1459</v>
      </c>
      <c r="T568" s="106"/>
      <c r="U568" s="116"/>
      <c r="V568" s="20">
        <f t="shared" si="335"/>
        <v>-1459</v>
      </c>
      <c r="W568" s="143"/>
    </row>
    <row r="569" spans="1:23" ht="15.75" customHeight="1">
      <c r="A569" s="114"/>
      <c r="B569" s="122"/>
      <c r="C569" s="123"/>
      <c r="D569" s="26">
        <f t="shared" si="329"/>
        <v>-1459</v>
      </c>
      <c r="E569" s="117"/>
      <c r="F569" s="117"/>
      <c r="G569" s="19">
        <f t="shared" si="330"/>
        <v>-1459</v>
      </c>
      <c r="H569" s="122"/>
      <c r="I569" s="123"/>
      <c r="J569" s="26">
        <f t="shared" si="331"/>
        <v>-1459</v>
      </c>
      <c r="K569" s="117"/>
      <c r="L569" s="117"/>
      <c r="M569" s="38">
        <f t="shared" si="332"/>
        <v>-1459</v>
      </c>
      <c r="N569" s="122"/>
      <c r="O569" s="123"/>
      <c r="P569" s="26">
        <f t="shared" si="333"/>
        <v>-1459</v>
      </c>
      <c r="Q569" s="117"/>
      <c r="R569" s="117"/>
      <c r="S569" s="38">
        <f t="shared" si="334"/>
        <v>-1459</v>
      </c>
      <c r="T569" s="122"/>
      <c r="U569" s="124"/>
      <c r="V569" s="20">
        <f t="shared" si="335"/>
        <v>-1459</v>
      </c>
      <c r="W569" s="143"/>
    </row>
    <row r="570" spans="1:23" ht="15.75" customHeight="1">
      <c r="A570" s="114"/>
      <c r="B570" s="122"/>
      <c r="C570" s="123"/>
      <c r="D570" s="39">
        <f t="shared" si="329"/>
        <v>-1459</v>
      </c>
      <c r="E570" s="128"/>
      <c r="F570" s="128"/>
      <c r="G570" s="29">
        <f t="shared" si="330"/>
        <v>-1459</v>
      </c>
      <c r="H570" s="122"/>
      <c r="I570" s="123"/>
      <c r="J570" s="39">
        <f t="shared" si="331"/>
        <v>-1459</v>
      </c>
      <c r="K570" s="128"/>
      <c r="L570" s="128"/>
      <c r="M570" s="40">
        <f t="shared" si="332"/>
        <v>-1459</v>
      </c>
      <c r="N570" s="122"/>
      <c r="O570" s="123"/>
      <c r="P570" s="39">
        <f t="shared" si="333"/>
        <v>-1459</v>
      </c>
      <c r="Q570" s="128"/>
      <c r="R570" s="128"/>
      <c r="S570" s="40">
        <f t="shared" si="334"/>
        <v>-1459</v>
      </c>
      <c r="T570" s="122"/>
      <c r="U570" s="123"/>
      <c r="V570" s="49">
        <f t="shared" si="335"/>
        <v>-1459</v>
      </c>
      <c r="W570" s="143"/>
    </row>
    <row r="571" spans="1:23" ht="15.75" customHeight="1">
      <c r="A571" s="87"/>
      <c r="B571" s="77">
        <f ca="1">IFERROR(__xludf.DUMMYFUNCTION("DATE(VALUE(LEFT($B$2,4)),VALUE(MID($B$2,6,2)),VALUE(RIGHT($B$2,2)))
+ (VALUE(REGEXEXTRACT(INDIRECT(""A""&amp;ROW()+1),""\d+""))-1)*7
+ INT((COLUMN()-COLUMN($B571))/3)
"),47818)</f>
        <v>47818</v>
      </c>
      <c r="C571" s="81"/>
      <c r="D571" s="82"/>
      <c r="E571" s="77">
        <f ca="1">IFERROR(__xludf.DUMMYFUNCTION("DATE(VALUE(LEFT($B$2,4)),VALUE(MID($B$2,6,2)),VALUE(RIGHT($B$2,2)))
+ (VALUE(REGEXEXTRACT(INDIRECT(""A""&amp;ROW()+1),""\d+""))-1)*7
+ INT((COLUMN()-COLUMN($B571))/3)
"),47819)</f>
        <v>47819</v>
      </c>
      <c r="F571" s="81"/>
      <c r="G571" s="82"/>
      <c r="H571" s="77">
        <f ca="1">IFERROR(__xludf.DUMMYFUNCTION("DATE(VALUE(LEFT($B$2,4)),VALUE(MID($B$2,6,2)),VALUE(RIGHT($B$2,2)))
+ (VALUE(REGEXEXTRACT(INDIRECT(""A""&amp;ROW()+1),""\d+""))-1)*7
+ INT((COLUMN()-COLUMN($B571))/3)
"),47820)</f>
        <v>47820</v>
      </c>
      <c r="I571" s="81"/>
      <c r="J571" s="82"/>
      <c r="K571" s="77">
        <f ca="1">IFERROR(__xludf.DUMMYFUNCTION("DATE(VALUE(LEFT($B$2,4)),VALUE(MID($B$2,6,2)),VALUE(RIGHT($B$2,2)))
+ (VALUE(REGEXEXTRACT(INDIRECT(""A""&amp;ROW()+1),""\d+""))-1)*7
+ INT((COLUMN()-COLUMN($B571))/3)
"),47821)</f>
        <v>47821</v>
      </c>
      <c r="L571" s="81"/>
      <c r="M571" s="82"/>
      <c r="N571" s="77">
        <f ca="1">IFERROR(__xludf.DUMMYFUNCTION("DATE(VALUE(LEFT($B$2,4)),VALUE(MID($B$2,6,2)),VALUE(RIGHT($B$2,2)))
+ (VALUE(REGEXEXTRACT(INDIRECT(""A""&amp;ROW()+1),""\d+""))-1)*7
+ INT((COLUMN()-COLUMN($B571))/3)
"),47822)</f>
        <v>47822</v>
      </c>
      <c r="O571" s="81"/>
      <c r="P571" s="82"/>
      <c r="Q571" s="77">
        <f ca="1">IFERROR(__xludf.DUMMYFUNCTION("DATE(VALUE(LEFT($B$2,4)),VALUE(MID($B$2,6,2)),VALUE(RIGHT($B$2,2)))
+ (VALUE(REGEXEXTRACT(INDIRECT(""A""&amp;ROW()+1),""\d+""))-1)*7
+ INT((COLUMN()-COLUMN($B571))/3)
"),47823)</f>
        <v>47823</v>
      </c>
      <c r="R571" s="81"/>
      <c r="S571" s="82"/>
      <c r="T571" s="77">
        <f ca="1">IFERROR(__xludf.DUMMYFUNCTION("DATE(VALUE(LEFT($B$2,4)),VALUE(MID($B$2,6,2)),VALUE(RIGHT($B$2,2)))
+ (VALUE(REGEXEXTRACT(INDIRECT(""A""&amp;ROW()+1),""\d+""))-1)*7
+ INT((COLUMN()-COLUMN($B571))/3)
"),47824)</f>
        <v>47824</v>
      </c>
      <c r="U571" s="81"/>
      <c r="V571" s="82"/>
      <c r="W571" s="52" t="s">
        <v>20</v>
      </c>
    </row>
    <row r="572" spans="1:23" ht="15.75" customHeight="1">
      <c r="A572" s="47" t="s">
        <v>177</v>
      </c>
      <c r="B572" s="113"/>
      <c r="C572" s="109"/>
      <c r="D572" s="42">
        <f>V570+C572</f>
        <v>-1459</v>
      </c>
      <c r="E572" s="112"/>
      <c r="F572" s="111"/>
      <c r="G572" s="36">
        <f>D582+F572</f>
        <v>-1459</v>
      </c>
      <c r="H572" s="109"/>
      <c r="I572" s="109"/>
      <c r="J572" s="42">
        <f>G582+I572</f>
        <v>-1459</v>
      </c>
      <c r="K572" s="112"/>
      <c r="L572" s="111"/>
      <c r="M572" s="18">
        <f>J582+L572</f>
        <v>-1459</v>
      </c>
      <c r="N572" s="113"/>
      <c r="O572" s="109"/>
      <c r="P572" s="35">
        <f>M582+O572</f>
        <v>-1459</v>
      </c>
      <c r="Q572" s="112"/>
      <c r="R572" s="111"/>
      <c r="S572" s="36">
        <f>P582+R572</f>
        <v>-1459</v>
      </c>
      <c r="T572" s="176"/>
      <c r="U572" s="173"/>
      <c r="V572" s="50">
        <f>S582+U572</f>
        <v>-1459</v>
      </c>
      <c r="W572" s="172"/>
    </row>
    <row r="573" spans="1:23" ht="15.75" customHeight="1">
      <c r="A573" s="114"/>
      <c r="B573" s="118"/>
      <c r="C573" s="117"/>
      <c r="D573" s="19">
        <f t="shared" ref="D573:D582" si="336">D572+C573</f>
        <v>-1459</v>
      </c>
      <c r="E573" s="106"/>
      <c r="F573" s="107"/>
      <c r="G573" s="26">
        <f t="shared" ref="G573:G582" si="337">G572+F573</f>
        <v>-1459</v>
      </c>
      <c r="H573" s="117"/>
      <c r="I573" s="117"/>
      <c r="J573" s="19">
        <f t="shared" ref="J573:J582" si="338">J572+I573</f>
        <v>-1459</v>
      </c>
      <c r="K573" s="106"/>
      <c r="L573" s="107"/>
      <c r="M573" s="26">
        <f t="shared" ref="M573:M582" si="339">M572+L573</f>
        <v>-1459</v>
      </c>
      <c r="N573" s="118"/>
      <c r="O573" s="117"/>
      <c r="P573" s="38">
        <f t="shared" ref="P573:P582" si="340">P572+O573</f>
        <v>-1459</v>
      </c>
      <c r="Q573" s="106"/>
      <c r="R573" s="107"/>
      <c r="S573" s="26">
        <f t="shared" ref="S573:S582" si="341">S572+R573</f>
        <v>-1459</v>
      </c>
      <c r="T573" s="177"/>
      <c r="U573" s="136"/>
      <c r="V573" s="45">
        <f t="shared" ref="V573:V582" si="342">V572+U573</f>
        <v>-1459</v>
      </c>
      <c r="W573" s="143"/>
    </row>
    <row r="574" spans="1:23" ht="15.75" customHeight="1">
      <c r="A574" s="114"/>
      <c r="B574" s="118"/>
      <c r="C574" s="117"/>
      <c r="D574" s="19">
        <f t="shared" si="336"/>
        <v>-1459</v>
      </c>
      <c r="E574" s="106"/>
      <c r="F574" s="107"/>
      <c r="G574" s="26">
        <f t="shared" si="337"/>
        <v>-1459</v>
      </c>
      <c r="H574" s="117"/>
      <c r="I574" s="117"/>
      <c r="J574" s="19">
        <f t="shared" si="338"/>
        <v>-1459</v>
      </c>
      <c r="K574" s="106"/>
      <c r="L574" s="107"/>
      <c r="M574" s="26">
        <f t="shared" si="339"/>
        <v>-1459</v>
      </c>
      <c r="N574" s="117"/>
      <c r="O574" s="117"/>
      <c r="P574" s="38">
        <f t="shared" si="340"/>
        <v>-1459</v>
      </c>
      <c r="Q574" s="106"/>
      <c r="R574" s="107"/>
      <c r="S574" s="26">
        <f t="shared" si="341"/>
        <v>-1459</v>
      </c>
      <c r="T574" s="136"/>
      <c r="U574" s="136"/>
      <c r="V574" s="45">
        <f t="shared" si="342"/>
        <v>-1459</v>
      </c>
      <c r="W574" s="143"/>
    </row>
    <row r="575" spans="1:23" ht="15.75" customHeight="1">
      <c r="A575" s="114"/>
      <c r="B575" s="118"/>
      <c r="C575" s="117"/>
      <c r="D575" s="19">
        <f t="shared" si="336"/>
        <v>-1459</v>
      </c>
      <c r="E575" s="106"/>
      <c r="F575" s="107"/>
      <c r="G575" s="26">
        <f t="shared" si="337"/>
        <v>-1459</v>
      </c>
      <c r="H575" s="117"/>
      <c r="I575" s="117"/>
      <c r="J575" s="19">
        <f t="shared" si="338"/>
        <v>-1459</v>
      </c>
      <c r="K575" s="106"/>
      <c r="L575" s="107"/>
      <c r="M575" s="26">
        <f t="shared" si="339"/>
        <v>-1459</v>
      </c>
      <c r="N575" s="117"/>
      <c r="O575" s="117"/>
      <c r="P575" s="38">
        <f t="shared" si="340"/>
        <v>-1459</v>
      </c>
      <c r="Q575" s="106"/>
      <c r="R575" s="107"/>
      <c r="S575" s="26">
        <f t="shared" si="341"/>
        <v>-1459</v>
      </c>
      <c r="T575" s="136"/>
      <c r="U575" s="136"/>
      <c r="V575" s="45">
        <f t="shared" si="342"/>
        <v>-1459</v>
      </c>
      <c r="W575" s="143"/>
    </row>
    <row r="576" spans="1:23" ht="15.75" customHeight="1">
      <c r="A576" s="114"/>
      <c r="B576" s="118"/>
      <c r="C576" s="117"/>
      <c r="D576" s="19">
        <f t="shared" si="336"/>
        <v>-1459</v>
      </c>
      <c r="E576" s="106"/>
      <c r="F576" s="107"/>
      <c r="G576" s="26">
        <f t="shared" si="337"/>
        <v>-1459</v>
      </c>
      <c r="H576" s="117"/>
      <c r="I576" s="117"/>
      <c r="J576" s="19">
        <f t="shared" si="338"/>
        <v>-1459</v>
      </c>
      <c r="K576" s="106"/>
      <c r="L576" s="107"/>
      <c r="M576" s="26">
        <f t="shared" si="339"/>
        <v>-1459</v>
      </c>
      <c r="N576" s="117"/>
      <c r="O576" s="117"/>
      <c r="P576" s="38">
        <f t="shared" si="340"/>
        <v>-1459</v>
      </c>
      <c r="Q576" s="106"/>
      <c r="R576" s="107"/>
      <c r="S576" s="26">
        <f t="shared" si="341"/>
        <v>-1459</v>
      </c>
      <c r="T576" s="136"/>
      <c r="U576" s="136"/>
      <c r="V576" s="45">
        <f t="shared" si="342"/>
        <v>-1459</v>
      </c>
      <c r="W576" s="143"/>
    </row>
    <row r="577" spans="1:23" ht="15.75" customHeight="1">
      <c r="A577" s="114"/>
      <c r="B577" s="118"/>
      <c r="C577" s="117"/>
      <c r="D577" s="19">
        <f t="shared" si="336"/>
        <v>-1459</v>
      </c>
      <c r="E577" s="106"/>
      <c r="F577" s="107"/>
      <c r="G577" s="26">
        <f t="shared" si="337"/>
        <v>-1459</v>
      </c>
      <c r="H577" s="117"/>
      <c r="I577" s="117"/>
      <c r="J577" s="19">
        <f t="shared" si="338"/>
        <v>-1459</v>
      </c>
      <c r="K577" s="106"/>
      <c r="L577" s="107"/>
      <c r="M577" s="26">
        <f t="shared" si="339"/>
        <v>-1459</v>
      </c>
      <c r="N577" s="117"/>
      <c r="O577" s="117"/>
      <c r="P577" s="38">
        <f t="shared" si="340"/>
        <v>-1459</v>
      </c>
      <c r="Q577" s="106"/>
      <c r="R577" s="107"/>
      <c r="S577" s="26">
        <f t="shared" si="341"/>
        <v>-1459</v>
      </c>
      <c r="T577" s="136"/>
      <c r="U577" s="136"/>
      <c r="V577" s="45">
        <f t="shared" si="342"/>
        <v>-1459</v>
      </c>
      <c r="W577" s="143"/>
    </row>
    <row r="578" spans="1:23" ht="15.75" customHeight="1">
      <c r="A578" s="114"/>
      <c r="B578" s="117"/>
      <c r="C578" s="117"/>
      <c r="D578" s="19">
        <f t="shared" si="336"/>
        <v>-1459</v>
      </c>
      <c r="E578" s="106"/>
      <c r="F578" s="107"/>
      <c r="G578" s="26">
        <f t="shared" si="337"/>
        <v>-1459</v>
      </c>
      <c r="H578" s="117"/>
      <c r="I578" s="117"/>
      <c r="J578" s="19">
        <f t="shared" si="338"/>
        <v>-1459</v>
      </c>
      <c r="K578" s="106"/>
      <c r="L578" s="107"/>
      <c r="M578" s="26">
        <f t="shared" si="339"/>
        <v>-1459</v>
      </c>
      <c r="N578" s="117"/>
      <c r="O578" s="117"/>
      <c r="P578" s="38">
        <f t="shared" si="340"/>
        <v>-1459</v>
      </c>
      <c r="Q578" s="106"/>
      <c r="R578" s="107"/>
      <c r="S578" s="26">
        <f t="shared" si="341"/>
        <v>-1459</v>
      </c>
      <c r="T578" s="136"/>
      <c r="U578" s="136"/>
      <c r="V578" s="45">
        <f t="shared" si="342"/>
        <v>-1459</v>
      </c>
      <c r="W578" s="143"/>
    </row>
    <row r="579" spans="1:23" ht="15.75" customHeight="1">
      <c r="A579" s="114"/>
      <c r="B579" s="117"/>
      <c r="C579" s="117"/>
      <c r="D579" s="19">
        <f t="shared" si="336"/>
        <v>-1459</v>
      </c>
      <c r="E579" s="106"/>
      <c r="F579" s="107"/>
      <c r="G579" s="26">
        <f t="shared" si="337"/>
        <v>-1459</v>
      </c>
      <c r="H579" s="133"/>
      <c r="I579" s="117"/>
      <c r="J579" s="19">
        <f t="shared" si="338"/>
        <v>-1459</v>
      </c>
      <c r="K579" s="106"/>
      <c r="L579" s="107"/>
      <c r="M579" s="26">
        <f t="shared" si="339"/>
        <v>-1459</v>
      </c>
      <c r="N579" s="117"/>
      <c r="O579" s="117"/>
      <c r="P579" s="38">
        <f t="shared" si="340"/>
        <v>-1459</v>
      </c>
      <c r="Q579" s="106"/>
      <c r="R579" s="107"/>
      <c r="S579" s="26">
        <f t="shared" si="341"/>
        <v>-1459</v>
      </c>
      <c r="T579" s="136"/>
      <c r="U579" s="136"/>
      <c r="V579" s="45">
        <f t="shared" si="342"/>
        <v>-1459</v>
      </c>
      <c r="W579" s="143"/>
    </row>
    <row r="580" spans="1:23" ht="15.75" customHeight="1">
      <c r="A580" s="114"/>
      <c r="B580" s="117"/>
      <c r="C580" s="117"/>
      <c r="D580" s="19">
        <f t="shared" si="336"/>
        <v>-1459</v>
      </c>
      <c r="E580" s="106"/>
      <c r="F580" s="107"/>
      <c r="G580" s="26">
        <f t="shared" si="337"/>
        <v>-1459</v>
      </c>
      <c r="H580" s="133"/>
      <c r="I580" s="117"/>
      <c r="J580" s="19">
        <f t="shared" si="338"/>
        <v>-1459</v>
      </c>
      <c r="K580" s="106"/>
      <c r="L580" s="107"/>
      <c r="M580" s="26">
        <f t="shared" si="339"/>
        <v>-1459</v>
      </c>
      <c r="N580" s="117"/>
      <c r="O580" s="117"/>
      <c r="P580" s="38">
        <f t="shared" si="340"/>
        <v>-1459</v>
      </c>
      <c r="Q580" s="106"/>
      <c r="R580" s="107"/>
      <c r="S580" s="26">
        <f t="shared" si="341"/>
        <v>-1459</v>
      </c>
      <c r="T580" s="136"/>
      <c r="U580" s="136"/>
      <c r="V580" s="45">
        <f t="shared" si="342"/>
        <v>-1459</v>
      </c>
      <c r="W580" s="143"/>
    </row>
    <row r="581" spans="1:23" ht="15.75" customHeight="1">
      <c r="A581" s="114"/>
      <c r="B581" s="117"/>
      <c r="C581" s="117"/>
      <c r="D581" s="19">
        <f t="shared" si="336"/>
        <v>-1459</v>
      </c>
      <c r="E581" s="122"/>
      <c r="F581" s="123"/>
      <c r="G581" s="26">
        <f t="shared" si="337"/>
        <v>-1459</v>
      </c>
      <c r="H581" s="133"/>
      <c r="I581" s="117"/>
      <c r="J581" s="19">
        <f t="shared" si="338"/>
        <v>-1459</v>
      </c>
      <c r="K581" s="122"/>
      <c r="L581" s="123"/>
      <c r="M581" s="26">
        <f t="shared" si="339"/>
        <v>-1459</v>
      </c>
      <c r="N581" s="117"/>
      <c r="O581" s="117"/>
      <c r="P581" s="38">
        <f t="shared" si="340"/>
        <v>-1459</v>
      </c>
      <c r="Q581" s="122"/>
      <c r="R581" s="123"/>
      <c r="S581" s="26">
        <f t="shared" si="341"/>
        <v>-1459</v>
      </c>
      <c r="T581" s="136"/>
      <c r="U581" s="136"/>
      <c r="V581" s="45">
        <f t="shared" si="342"/>
        <v>-1459</v>
      </c>
      <c r="W581" s="143"/>
    </row>
    <row r="582" spans="1:23" ht="15.75" customHeight="1">
      <c r="A582" s="114"/>
      <c r="B582" s="128"/>
      <c r="C582" s="128"/>
      <c r="D582" s="29">
        <f t="shared" si="336"/>
        <v>-1459</v>
      </c>
      <c r="E582" s="122"/>
      <c r="F582" s="123"/>
      <c r="G582" s="53">
        <f t="shared" si="337"/>
        <v>-1459</v>
      </c>
      <c r="H582" s="140"/>
      <c r="I582" s="128"/>
      <c r="J582" s="29">
        <f t="shared" si="338"/>
        <v>-1459</v>
      </c>
      <c r="K582" s="122"/>
      <c r="L582" s="123"/>
      <c r="M582" s="39">
        <f t="shared" si="339"/>
        <v>-1459</v>
      </c>
      <c r="N582" s="128"/>
      <c r="O582" s="128"/>
      <c r="P582" s="40">
        <f t="shared" si="340"/>
        <v>-1459</v>
      </c>
      <c r="Q582" s="122"/>
      <c r="R582" s="123"/>
      <c r="S582" s="39">
        <f t="shared" si="341"/>
        <v>-1459</v>
      </c>
      <c r="T582" s="141"/>
      <c r="U582" s="141"/>
      <c r="V582" s="46">
        <f t="shared" si="342"/>
        <v>-1459</v>
      </c>
      <c r="W582" s="143"/>
    </row>
    <row r="583" spans="1:23" ht="15.75" customHeight="1">
      <c r="A583" s="87"/>
      <c r="B583" s="77">
        <f ca="1">IFERROR(__xludf.DUMMYFUNCTION("DATE(VALUE(LEFT($B$2,4)),VALUE(MID($B$2,6,2)),VALUE(RIGHT($B$2,2)))
+ (VALUE(REGEXEXTRACT(INDIRECT(""A""&amp;ROW()+1),""\d+""))-1)*7
+ INT((COLUMN()-COLUMN($B583))/3)
"),47825)</f>
        <v>47825</v>
      </c>
      <c r="C583" s="81"/>
      <c r="D583" s="82"/>
      <c r="E583" s="77">
        <f ca="1">IFERROR(__xludf.DUMMYFUNCTION("DATE(VALUE(LEFT($B$2,4)),VALUE(MID($B$2,6,2)),VALUE(RIGHT($B$2,2)))
+ (VALUE(REGEXEXTRACT(INDIRECT(""A""&amp;ROW()+1),""\d+""))-1)*7
+ INT((COLUMN()-COLUMN($B583))/3)
"),47826)</f>
        <v>47826</v>
      </c>
      <c r="F583" s="81"/>
      <c r="G583" s="82"/>
      <c r="H583" s="77">
        <f ca="1">IFERROR(__xludf.DUMMYFUNCTION("DATE(VALUE(LEFT($B$2,4)),VALUE(MID($B$2,6,2)),VALUE(RIGHT($B$2,2)))
+ (VALUE(REGEXEXTRACT(INDIRECT(""A""&amp;ROW()+1),""\d+""))-1)*7
+ INT((COLUMN()-COLUMN($B583))/3)
"),47827)</f>
        <v>47827</v>
      </c>
      <c r="I583" s="81"/>
      <c r="J583" s="82"/>
      <c r="K583" s="77">
        <f ca="1">IFERROR(__xludf.DUMMYFUNCTION("DATE(VALUE(LEFT($B$2,4)),VALUE(MID($B$2,6,2)),VALUE(RIGHT($B$2,2)))
+ (VALUE(REGEXEXTRACT(INDIRECT(""A""&amp;ROW()+1),""\d+""))-1)*7
+ INT((COLUMN()-COLUMN($B583))/3)
"),47828)</f>
        <v>47828</v>
      </c>
      <c r="L583" s="81"/>
      <c r="M583" s="82"/>
      <c r="N583" s="77">
        <f ca="1">IFERROR(__xludf.DUMMYFUNCTION("DATE(VALUE(LEFT($B$2,4)),VALUE(MID($B$2,6,2)),VALUE(RIGHT($B$2,2)))
+ (VALUE(REGEXEXTRACT(INDIRECT(""A""&amp;ROW()+1),""\d+""))-1)*7
+ INT((COLUMN()-COLUMN($B583))/3)
"),47829)</f>
        <v>47829</v>
      </c>
      <c r="O583" s="81"/>
      <c r="P583" s="82"/>
      <c r="Q583" s="77">
        <f ca="1">IFERROR(__xludf.DUMMYFUNCTION("DATE(VALUE(LEFT($B$2,4)),VALUE(MID($B$2,6,2)),VALUE(RIGHT($B$2,2)))
+ (VALUE(REGEXEXTRACT(INDIRECT(""A""&amp;ROW()+1),""\d+""))-1)*7
+ INT((COLUMN()-COLUMN($B583))/3)
"),47830)</f>
        <v>47830</v>
      </c>
      <c r="R583" s="81"/>
      <c r="S583" s="82"/>
      <c r="T583" s="77">
        <f ca="1">IFERROR(__xludf.DUMMYFUNCTION("DATE(VALUE(LEFT($B$2,4)),VALUE(MID($B$2,6,2)),VALUE(RIGHT($B$2,2)))
+ (VALUE(REGEXEXTRACT(INDIRECT(""A""&amp;ROW()+1),""\d+""))-1)*7
+ INT((COLUMN()-COLUMN($B583))/3)
"),47831)</f>
        <v>47831</v>
      </c>
      <c r="U583" s="81"/>
      <c r="V583" s="82"/>
      <c r="W583" s="143"/>
    </row>
    <row r="584" spans="1:23" ht="15.75" customHeight="1">
      <c r="A584" s="51" t="s">
        <v>178</v>
      </c>
      <c r="B584" s="112"/>
      <c r="C584" s="111"/>
      <c r="D584" s="17">
        <f>V582+C584</f>
        <v>-1459</v>
      </c>
      <c r="E584" s="109"/>
      <c r="F584" s="109"/>
      <c r="G584" s="54">
        <f>D594+F584</f>
        <v>-1459</v>
      </c>
      <c r="H584" s="110"/>
      <c r="I584" s="111"/>
      <c r="J584" s="17">
        <f>G594+I584</f>
        <v>-1459</v>
      </c>
      <c r="K584" s="109"/>
      <c r="L584" s="109"/>
      <c r="M584" s="35">
        <f>J594+L584</f>
        <v>-1459</v>
      </c>
      <c r="N584" s="112"/>
      <c r="O584" s="111"/>
      <c r="P584" s="17">
        <f>M594+O584</f>
        <v>-1459</v>
      </c>
      <c r="Q584" s="109"/>
      <c r="R584" s="109"/>
      <c r="S584" s="35">
        <f>P594+R584</f>
        <v>-1459</v>
      </c>
      <c r="T584" s="112"/>
      <c r="U584" s="111"/>
      <c r="V584" s="48">
        <f>S594+U584</f>
        <v>-1459</v>
      </c>
      <c r="W584" s="143"/>
    </row>
    <row r="585" spans="1:23" ht="15.75" customHeight="1">
      <c r="A585" s="114"/>
      <c r="B585" s="106"/>
      <c r="C585" s="107"/>
      <c r="D585" s="26">
        <f t="shared" ref="D585:D594" si="343">D584+C585</f>
        <v>-1459</v>
      </c>
      <c r="E585" s="117"/>
      <c r="F585" s="117"/>
      <c r="G585" s="19">
        <f t="shared" ref="G585:G594" si="344">G584+F585</f>
        <v>-1459</v>
      </c>
      <c r="H585" s="116"/>
      <c r="I585" s="107"/>
      <c r="J585" s="26">
        <f t="shared" ref="J585:J594" si="345">J584+I585</f>
        <v>-1459</v>
      </c>
      <c r="K585" s="117"/>
      <c r="L585" s="117"/>
      <c r="M585" s="38">
        <f t="shared" ref="M585:M594" si="346">M584+L585</f>
        <v>-1459</v>
      </c>
      <c r="N585" s="106"/>
      <c r="O585" s="107"/>
      <c r="P585" s="26">
        <f t="shared" ref="P585:P594" si="347">P584+O585</f>
        <v>-1459</v>
      </c>
      <c r="Q585" s="117"/>
      <c r="R585" s="117"/>
      <c r="S585" s="38">
        <f t="shared" ref="S585:S594" si="348">S584+R585</f>
        <v>-1459</v>
      </c>
      <c r="T585" s="106"/>
      <c r="U585" s="116"/>
      <c r="V585" s="20">
        <f t="shared" ref="V585:V594" si="349">V584+U585</f>
        <v>-1459</v>
      </c>
      <c r="W585" s="143"/>
    </row>
    <row r="586" spans="1:23" ht="15.75" customHeight="1">
      <c r="A586" s="114"/>
      <c r="B586" s="106"/>
      <c r="C586" s="107"/>
      <c r="D586" s="26">
        <f t="shared" si="343"/>
        <v>-1459</v>
      </c>
      <c r="E586" s="117"/>
      <c r="F586" s="117"/>
      <c r="G586" s="19">
        <f t="shared" si="344"/>
        <v>-1459</v>
      </c>
      <c r="H586" s="116"/>
      <c r="I586" s="107"/>
      <c r="J586" s="26">
        <f t="shared" si="345"/>
        <v>-1459</v>
      </c>
      <c r="K586" s="117"/>
      <c r="L586" s="117"/>
      <c r="M586" s="38">
        <f t="shared" si="346"/>
        <v>-1459</v>
      </c>
      <c r="N586" s="106"/>
      <c r="O586" s="107"/>
      <c r="P586" s="26">
        <f t="shared" si="347"/>
        <v>-1459</v>
      </c>
      <c r="Q586" s="117"/>
      <c r="R586" s="117"/>
      <c r="S586" s="38">
        <f t="shared" si="348"/>
        <v>-1459</v>
      </c>
      <c r="T586" s="106"/>
      <c r="U586" s="107"/>
      <c r="V586" s="20">
        <f t="shared" si="349"/>
        <v>-1459</v>
      </c>
      <c r="W586" s="143"/>
    </row>
    <row r="587" spans="1:23" ht="15.75" customHeight="1">
      <c r="A587" s="114"/>
      <c r="B587" s="106"/>
      <c r="C587" s="107"/>
      <c r="D587" s="26">
        <f t="shared" si="343"/>
        <v>-1459</v>
      </c>
      <c r="E587" s="117"/>
      <c r="F587" s="117"/>
      <c r="G587" s="19">
        <f t="shared" si="344"/>
        <v>-1459</v>
      </c>
      <c r="H587" s="116"/>
      <c r="I587" s="107"/>
      <c r="J587" s="26">
        <f t="shared" si="345"/>
        <v>-1459</v>
      </c>
      <c r="K587" s="117"/>
      <c r="L587" s="117"/>
      <c r="M587" s="38">
        <f t="shared" si="346"/>
        <v>-1459</v>
      </c>
      <c r="N587" s="106"/>
      <c r="O587" s="107"/>
      <c r="P587" s="26">
        <f t="shared" si="347"/>
        <v>-1459</v>
      </c>
      <c r="Q587" s="117"/>
      <c r="R587" s="117"/>
      <c r="S587" s="38">
        <f t="shared" si="348"/>
        <v>-1459</v>
      </c>
      <c r="T587" s="106"/>
      <c r="U587" s="107"/>
      <c r="V587" s="20">
        <f t="shared" si="349"/>
        <v>-1459</v>
      </c>
      <c r="W587" s="143"/>
    </row>
    <row r="588" spans="1:23" ht="15.75" customHeight="1">
      <c r="A588" s="114"/>
      <c r="B588" s="106"/>
      <c r="C588" s="107"/>
      <c r="D588" s="26">
        <f t="shared" si="343"/>
        <v>-1459</v>
      </c>
      <c r="E588" s="117"/>
      <c r="F588" s="117"/>
      <c r="G588" s="19">
        <f t="shared" si="344"/>
        <v>-1459</v>
      </c>
      <c r="H588" s="116"/>
      <c r="I588" s="107"/>
      <c r="J588" s="26">
        <f t="shared" si="345"/>
        <v>-1459</v>
      </c>
      <c r="K588" s="117"/>
      <c r="L588" s="117"/>
      <c r="M588" s="38">
        <f t="shared" si="346"/>
        <v>-1459</v>
      </c>
      <c r="N588" s="106"/>
      <c r="O588" s="107"/>
      <c r="P588" s="26">
        <f t="shared" si="347"/>
        <v>-1459</v>
      </c>
      <c r="Q588" s="117"/>
      <c r="R588" s="117"/>
      <c r="S588" s="38">
        <f t="shared" si="348"/>
        <v>-1459</v>
      </c>
      <c r="T588" s="106"/>
      <c r="U588" s="116"/>
      <c r="V588" s="20">
        <f t="shared" si="349"/>
        <v>-1459</v>
      </c>
      <c r="W588" s="143"/>
    </row>
    <row r="589" spans="1:23" ht="15.75" customHeight="1">
      <c r="A589" s="114"/>
      <c r="B589" s="106"/>
      <c r="C589" s="107"/>
      <c r="D589" s="26">
        <f t="shared" si="343"/>
        <v>-1459</v>
      </c>
      <c r="E589" s="117"/>
      <c r="F589" s="117"/>
      <c r="G589" s="19">
        <f t="shared" si="344"/>
        <v>-1459</v>
      </c>
      <c r="H589" s="116"/>
      <c r="I589" s="107"/>
      <c r="J589" s="26">
        <f t="shared" si="345"/>
        <v>-1459</v>
      </c>
      <c r="K589" s="117"/>
      <c r="L589" s="117"/>
      <c r="M589" s="38">
        <f t="shared" si="346"/>
        <v>-1459</v>
      </c>
      <c r="N589" s="106"/>
      <c r="O589" s="107"/>
      <c r="P589" s="26">
        <f t="shared" si="347"/>
        <v>-1459</v>
      </c>
      <c r="Q589" s="117"/>
      <c r="R589" s="117"/>
      <c r="S589" s="38">
        <f t="shared" si="348"/>
        <v>-1459</v>
      </c>
      <c r="T589" s="106"/>
      <c r="U589" s="116"/>
      <c r="V589" s="20">
        <f t="shared" si="349"/>
        <v>-1459</v>
      </c>
      <c r="W589" s="143"/>
    </row>
    <row r="590" spans="1:23" ht="15.75" customHeight="1">
      <c r="A590" s="114"/>
      <c r="B590" s="106"/>
      <c r="C590" s="107"/>
      <c r="D590" s="26">
        <f t="shared" si="343"/>
        <v>-1459</v>
      </c>
      <c r="E590" s="117"/>
      <c r="F590" s="117"/>
      <c r="G590" s="19">
        <f t="shared" si="344"/>
        <v>-1459</v>
      </c>
      <c r="H590" s="116"/>
      <c r="I590" s="107"/>
      <c r="J590" s="26">
        <f t="shared" si="345"/>
        <v>-1459</v>
      </c>
      <c r="K590" s="117"/>
      <c r="L590" s="117"/>
      <c r="M590" s="38">
        <f t="shared" si="346"/>
        <v>-1459</v>
      </c>
      <c r="N590" s="106"/>
      <c r="O590" s="107"/>
      <c r="P590" s="26">
        <f t="shared" si="347"/>
        <v>-1459</v>
      </c>
      <c r="Q590" s="117"/>
      <c r="R590" s="117"/>
      <c r="S590" s="38">
        <f t="shared" si="348"/>
        <v>-1459</v>
      </c>
      <c r="T590" s="106"/>
      <c r="U590" s="116"/>
      <c r="V590" s="20">
        <f t="shared" si="349"/>
        <v>-1459</v>
      </c>
      <c r="W590" s="143"/>
    </row>
    <row r="591" spans="1:23" ht="15.75" customHeight="1">
      <c r="A591" s="114"/>
      <c r="B591" s="106"/>
      <c r="C591" s="107"/>
      <c r="D591" s="26">
        <f t="shared" si="343"/>
        <v>-1459</v>
      </c>
      <c r="E591" s="117"/>
      <c r="F591" s="117"/>
      <c r="G591" s="19">
        <f t="shared" si="344"/>
        <v>-1459</v>
      </c>
      <c r="H591" s="116"/>
      <c r="I591" s="107"/>
      <c r="J591" s="26">
        <f t="shared" si="345"/>
        <v>-1459</v>
      </c>
      <c r="K591" s="117"/>
      <c r="L591" s="117"/>
      <c r="M591" s="38">
        <f t="shared" si="346"/>
        <v>-1459</v>
      </c>
      <c r="N591" s="106"/>
      <c r="O591" s="107"/>
      <c r="P591" s="26">
        <f t="shared" si="347"/>
        <v>-1459</v>
      </c>
      <c r="Q591" s="117"/>
      <c r="R591" s="117"/>
      <c r="S591" s="38">
        <f t="shared" si="348"/>
        <v>-1459</v>
      </c>
      <c r="T591" s="106"/>
      <c r="U591" s="116"/>
      <c r="V591" s="20">
        <f t="shared" si="349"/>
        <v>-1459</v>
      </c>
      <c r="W591" s="143"/>
    </row>
    <row r="592" spans="1:23" ht="15.75" customHeight="1">
      <c r="A592" s="114"/>
      <c r="B592" s="122"/>
      <c r="C592" s="123"/>
      <c r="D592" s="26">
        <f t="shared" si="343"/>
        <v>-1459</v>
      </c>
      <c r="E592" s="117"/>
      <c r="F592" s="117"/>
      <c r="G592" s="19">
        <f t="shared" si="344"/>
        <v>-1459</v>
      </c>
      <c r="H592" s="124"/>
      <c r="I592" s="123"/>
      <c r="J592" s="26">
        <f t="shared" si="345"/>
        <v>-1459</v>
      </c>
      <c r="K592" s="117"/>
      <c r="L592" s="117"/>
      <c r="M592" s="38">
        <f t="shared" si="346"/>
        <v>-1459</v>
      </c>
      <c r="N592" s="122"/>
      <c r="O592" s="123"/>
      <c r="P592" s="26">
        <f t="shared" si="347"/>
        <v>-1459</v>
      </c>
      <c r="Q592" s="117"/>
      <c r="R592" s="117"/>
      <c r="S592" s="38">
        <f t="shared" si="348"/>
        <v>-1459</v>
      </c>
      <c r="T592" s="106"/>
      <c r="U592" s="116"/>
      <c r="V592" s="20">
        <f t="shared" si="349"/>
        <v>-1459</v>
      </c>
      <c r="W592" s="143"/>
    </row>
    <row r="593" spans="1:23" ht="15.75" customHeight="1">
      <c r="A593" s="114"/>
      <c r="B593" s="122"/>
      <c r="C593" s="123"/>
      <c r="D593" s="26">
        <f t="shared" si="343"/>
        <v>-1459</v>
      </c>
      <c r="E593" s="117"/>
      <c r="F593" s="117"/>
      <c r="G593" s="19">
        <f t="shared" si="344"/>
        <v>-1459</v>
      </c>
      <c r="H593" s="124"/>
      <c r="I593" s="123"/>
      <c r="J593" s="26">
        <f t="shared" si="345"/>
        <v>-1459</v>
      </c>
      <c r="K593" s="117"/>
      <c r="L593" s="117"/>
      <c r="M593" s="38">
        <f t="shared" si="346"/>
        <v>-1459</v>
      </c>
      <c r="N593" s="122"/>
      <c r="O593" s="123"/>
      <c r="P593" s="26">
        <f t="shared" si="347"/>
        <v>-1459</v>
      </c>
      <c r="Q593" s="117"/>
      <c r="R593" s="117"/>
      <c r="S593" s="38">
        <f t="shared" si="348"/>
        <v>-1459</v>
      </c>
      <c r="T593" s="122"/>
      <c r="U593" s="124"/>
      <c r="V593" s="20">
        <f t="shared" si="349"/>
        <v>-1459</v>
      </c>
      <c r="W593" s="143"/>
    </row>
    <row r="594" spans="1:23" ht="15.75" customHeight="1">
      <c r="A594" s="114"/>
      <c r="B594" s="122"/>
      <c r="C594" s="123"/>
      <c r="D594" s="39">
        <f t="shared" si="343"/>
        <v>-1459</v>
      </c>
      <c r="E594" s="128"/>
      <c r="F594" s="128"/>
      <c r="G594" s="55">
        <f t="shared" si="344"/>
        <v>-1459</v>
      </c>
      <c r="H594" s="124"/>
      <c r="I594" s="123"/>
      <c r="J594" s="39">
        <f t="shared" si="345"/>
        <v>-1459</v>
      </c>
      <c r="K594" s="128"/>
      <c r="L594" s="128"/>
      <c r="M594" s="40">
        <f t="shared" si="346"/>
        <v>-1459</v>
      </c>
      <c r="N594" s="122"/>
      <c r="O594" s="123"/>
      <c r="P594" s="39">
        <f t="shared" si="347"/>
        <v>-1459</v>
      </c>
      <c r="Q594" s="128"/>
      <c r="R594" s="128"/>
      <c r="S594" s="40">
        <f t="shared" si="348"/>
        <v>-1459</v>
      </c>
      <c r="T594" s="122"/>
      <c r="U594" s="123"/>
      <c r="V594" s="49">
        <f t="shared" si="349"/>
        <v>-1459</v>
      </c>
      <c r="W594" s="143"/>
    </row>
    <row r="595" spans="1:23" ht="15.75" customHeight="1">
      <c r="A595" s="87"/>
      <c r="B595" s="77">
        <f ca="1">IFERROR(__xludf.DUMMYFUNCTION("DATE(VALUE(LEFT($B$2,4)),VALUE(MID($B$2,6,2)),VALUE(RIGHT($B$2,2)))
+ (VALUE(REGEXEXTRACT(INDIRECT(""A""&amp;ROW()+1),""\d+""))-1)*7
+ INT((COLUMN()-COLUMN($B595))/3)
"),47832)</f>
        <v>47832</v>
      </c>
      <c r="C595" s="81"/>
      <c r="D595" s="82"/>
      <c r="E595" s="77">
        <f ca="1">IFERROR(__xludf.DUMMYFUNCTION("DATE(VALUE(LEFT($B$2,4)),VALUE(MID($B$2,6,2)),VALUE(RIGHT($B$2,2)))
+ (VALUE(REGEXEXTRACT(INDIRECT(""A""&amp;ROW()+1),""\d+""))-1)*7
+ INT((COLUMN()-COLUMN($B595))/3)
"),47833)</f>
        <v>47833</v>
      </c>
      <c r="F595" s="81"/>
      <c r="G595" s="82"/>
      <c r="H595" s="77">
        <f ca="1">IFERROR(__xludf.DUMMYFUNCTION("DATE(VALUE(LEFT($B$2,4)),VALUE(MID($B$2,6,2)),VALUE(RIGHT($B$2,2)))
+ (VALUE(REGEXEXTRACT(INDIRECT(""A""&amp;ROW()+1),""\d+""))-1)*7
+ INT((COLUMN()-COLUMN($B595))/3)
"),47834)</f>
        <v>47834</v>
      </c>
      <c r="I595" s="81"/>
      <c r="J595" s="82"/>
      <c r="K595" s="77">
        <f ca="1">IFERROR(__xludf.DUMMYFUNCTION("DATE(VALUE(LEFT($B$2,4)),VALUE(MID($B$2,6,2)),VALUE(RIGHT($B$2,2)))
+ (VALUE(REGEXEXTRACT(INDIRECT(""A""&amp;ROW()+1),""\d+""))-1)*7
+ INT((COLUMN()-COLUMN($B595))/3)
"),47835)</f>
        <v>47835</v>
      </c>
      <c r="L595" s="81"/>
      <c r="M595" s="82"/>
      <c r="N595" s="77">
        <f ca="1">IFERROR(__xludf.DUMMYFUNCTION("DATE(VALUE(LEFT($B$2,4)),VALUE(MID($B$2,6,2)),VALUE(RIGHT($B$2,2)))
+ (VALUE(REGEXEXTRACT(INDIRECT(""A""&amp;ROW()+1),""\d+""))-1)*7
+ INT((COLUMN()-COLUMN($B595))/3)
"),47836)</f>
        <v>47836</v>
      </c>
      <c r="O595" s="81"/>
      <c r="P595" s="82"/>
      <c r="Q595" s="77">
        <f ca="1">IFERROR(__xludf.DUMMYFUNCTION("DATE(VALUE(LEFT($B$2,4)),VALUE(MID($B$2,6,2)),VALUE(RIGHT($B$2,2)))
+ (VALUE(REGEXEXTRACT(INDIRECT(""A""&amp;ROW()+1),""\d+""))-1)*7
+ INT((COLUMN()-COLUMN($B595))/3)
"),47837)</f>
        <v>47837</v>
      </c>
      <c r="R595" s="81"/>
      <c r="S595" s="82"/>
      <c r="T595" s="77">
        <f ca="1">IFERROR(__xludf.DUMMYFUNCTION("DATE(VALUE(LEFT($B$2,4)),VALUE(MID($B$2,6,2)),VALUE(RIGHT($B$2,2)))
+ (VALUE(REGEXEXTRACT(INDIRECT(""A""&amp;ROW()+1),""\d+""))-1)*7
+ INT((COLUMN()-COLUMN($B595))/3)
"),47838)</f>
        <v>47838</v>
      </c>
      <c r="U595" s="81"/>
      <c r="V595" s="82"/>
      <c r="W595" s="52" t="s">
        <v>20</v>
      </c>
    </row>
    <row r="596" spans="1:23" ht="15.75" customHeight="1">
      <c r="A596" s="47" t="s">
        <v>179</v>
      </c>
      <c r="B596" s="109"/>
      <c r="C596" s="109"/>
      <c r="D596" s="42">
        <f>V594+C596</f>
        <v>-1459</v>
      </c>
      <c r="E596" s="112"/>
      <c r="F596" s="111"/>
      <c r="G596" s="36">
        <f>D606+F596</f>
        <v>-1459</v>
      </c>
      <c r="H596" s="132"/>
      <c r="I596" s="109"/>
      <c r="J596" s="42">
        <f>G606+I596</f>
        <v>-1459</v>
      </c>
      <c r="K596" s="112"/>
      <c r="L596" s="111"/>
      <c r="M596" s="18">
        <f>J606+L596</f>
        <v>-1459</v>
      </c>
      <c r="N596" s="113"/>
      <c r="O596" s="109"/>
      <c r="P596" s="35">
        <f>M606+O596</f>
        <v>-1459</v>
      </c>
      <c r="Q596" s="112"/>
      <c r="R596" s="111"/>
      <c r="S596" s="36">
        <f>P606+R596</f>
        <v>-1459</v>
      </c>
      <c r="T596" s="176"/>
      <c r="U596" s="173"/>
      <c r="V596" s="50">
        <f>S606+U596</f>
        <v>-1459</v>
      </c>
      <c r="W596" s="172"/>
    </row>
    <row r="597" spans="1:23" ht="15.75" customHeight="1">
      <c r="A597" s="114"/>
      <c r="B597" s="117"/>
      <c r="C597" s="117"/>
      <c r="D597" s="19">
        <f t="shared" ref="D597:D606" si="350">D596+C597</f>
        <v>-1459</v>
      </c>
      <c r="E597" s="106"/>
      <c r="F597" s="107"/>
      <c r="G597" s="26">
        <f t="shared" ref="G597:G606" si="351">G596+F597</f>
        <v>-1459</v>
      </c>
      <c r="H597" s="133"/>
      <c r="I597" s="117"/>
      <c r="J597" s="19">
        <f t="shared" ref="J597:J606" si="352">J596+I597</f>
        <v>-1459</v>
      </c>
      <c r="K597" s="106"/>
      <c r="L597" s="107"/>
      <c r="M597" s="26">
        <f t="shared" ref="M597:M606" si="353">M596+L597</f>
        <v>-1459</v>
      </c>
      <c r="N597" s="118"/>
      <c r="O597" s="117"/>
      <c r="P597" s="38">
        <f t="shared" ref="P597:P606" si="354">P596+O597</f>
        <v>-1459</v>
      </c>
      <c r="Q597" s="106"/>
      <c r="R597" s="107"/>
      <c r="S597" s="26">
        <f t="shared" ref="S597:S606" si="355">S596+R597</f>
        <v>-1459</v>
      </c>
      <c r="T597" s="177"/>
      <c r="U597" s="136"/>
      <c r="V597" s="45">
        <f t="shared" ref="V597:V606" si="356">V596+U597</f>
        <v>-1459</v>
      </c>
      <c r="W597" s="143"/>
    </row>
    <row r="598" spans="1:23" ht="15.75" customHeight="1">
      <c r="A598" s="114"/>
      <c r="B598" s="118"/>
      <c r="C598" s="117"/>
      <c r="D598" s="19">
        <f t="shared" si="350"/>
        <v>-1459</v>
      </c>
      <c r="E598" s="106"/>
      <c r="F598" s="107"/>
      <c r="G598" s="26">
        <f t="shared" si="351"/>
        <v>-1459</v>
      </c>
      <c r="H598" s="133"/>
      <c r="I598" s="117"/>
      <c r="J598" s="19">
        <f t="shared" si="352"/>
        <v>-1459</v>
      </c>
      <c r="K598" s="106"/>
      <c r="L598" s="107"/>
      <c r="M598" s="26">
        <f t="shared" si="353"/>
        <v>-1459</v>
      </c>
      <c r="N598" s="117"/>
      <c r="O598" s="117"/>
      <c r="P598" s="38">
        <f t="shared" si="354"/>
        <v>-1459</v>
      </c>
      <c r="Q598" s="106"/>
      <c r="R598" s="107"/>
      <c r="S598" s="26">
        <f t="shared" si="355"/>
        <v>-1459</v>
      </c>
      <c r="T598" s="136"/>
      <c r="U598" s="136"/>
      <c r="V598" s="45">
        <f t="shared" si="356"/>
        <v>-1459</v>
      </c>
      <c r="W598" s="143"/>
    </row>
    <row r="599" spans="1:23" ht="15.75" customHeight="1">
      <c r="A599" s="114"/>
      <c r="B599" s="118"/>
      <c r="C599" s="117"/>
      <c r="D599" s="19">
        <f t="shared" si="350"/>
        <v>-1459</v>
      </c>
      <c r="E599" s="106"/>
      <c r="F599" s="107"/>
      <c r="G599" s="26">
        <f t="shared" si="351"/>
        <v>-1459</v>
      </c>
      <c r="H599" s="133"/>
      <c r="I599" s="117"/>
      <c r="J599" s="19">
        <f t="shared" si="352"/>
        <v>-1459</v>
      </c>
      <c r="K599" s="106"/>
      <c r="L599" s="107"/>
      <c r="M599" s="26">
        <f t="shared" si="353"/>
        <v>-1459</v>
      </c>
      <c r="N599" s="117"/>
      <c r="O599" s="117"/>
      <c r="P599" s="38">
        <f t="shared" si="354"/>
        <v>-1459</v>
      </c>
      <c r="Q599" s="106"/>
      <c r="R599" s="107"/>
      <c r="S599" s="26">
        <f t="shared" si="355"/>
        <v>-1459</v>
      </c>
      <c r="T599" s="136"/>
      <c r="U599" s="136"/>
      <c r="V599" s="45">
        <f t="shared" si="356"/>
        <v>-1459</v>
      </c>
      <c r="W599" s="143"/>
    </row>
    <row r="600" spans="1:23" ht="15.75" customHeight="1">
      <c r="A600" s="114"/>
      <c r="B600" s="118"/>
      <c r="C600" s="117"/>
      <c r="D600" s="19">
        <f t="shared" si="350"/>
        <v>-1459</v>
      </c>
      <c r="E600" s="106"/>
      <c r="F600" s="107"/>
      <c r="G600" s="26">
        <f t="shared" si="351"/>
        <v>-1459</v>
      </c>
      <c r="H600" s="133"/>
      <c r="I600" s="117"/>
      <c r="J600" s="19">
        <f t="shared" si="352"/>
        <v>-1459</v>
      </c>
      <c r="K600" s="106"/>
      <c r="L600" s="107"/>
      <c r="M600" s="26">
        <f t="shared" si="353"/>
        <v>-1459</v>
      </c>
      <c r="N600" s="117"/>
      <c r="O600" s="117"/>
      <c r="P600" s="38">
        <f t="shared" si="354"/>
        <v>-1459</v>
      </c>
      <c r="Q600" s="106"/>
      <c r="R600" s="107"/>
      <c r="S600" s="26">
        <f t="shared" si="355"/>
        <v>-1459</v>
      </c>
      <c r="T600" s="136"/>
      <c r="U600" s="136"/>
      <c r="V600" s="45">
        <f t="shared" si="356"/>
        <v>-1459</v>
      </c>
      <c r="W600" s="143"/>
    </row>
    <row r="601" spans="1:23" ht="15.75" customHeight="1">
      <c r="A601" s="114"/>
      <c r="B601" s="118"/>
      <c r="C601" s="117"/>
      <c r="D601" s="19">
        <f t="shared" si="350"/>
        <v>-1459</v>
      </c>
      <c r="E601" s="106"/>
      <c r="F601" s="107"/>
      <c r="G601" s="26">
        <f t="shared" si="351"/>
        <v>-1459</v>
      </c>
      <c r="H601" s="133"/>
      <c r="I601" s="117"/>
      <c r="J601" s="19">
        <f t="shared" si="352"/>
        <v>-1459</v>
      </c>
      <c r="K601" s="106"/>
      <c r="L601" s="107"/>
      <c r="M601" s="26">
        <f t="shared" si="353"/>
        <v>-1459</v>
      </c>
      <c r="N601" s="117"/>
      <c r="O601" s="117"/>
      <c r="P601" s="38">
        <f t="shared" si="354"/>
        <v>-1459</v>
      </c>
      <c r="Q601" s="106"/>
      <c r="R601" s="107"/>
      <c r="S601" s="26">
        <f t="shared" si="355"/>
        <v>-1459</v>
      </c>
      <c r="T601" s="136"/>
      <c r="U601" s="136"/>
      <c r="V601" s="45">
        <f t="shared" si="356"/>
        <v>-1459</v>
      </c>
      <c r="W601" s="143"/>
    </row>
    <row r="602" spans="1:23" ht="15.75" customHeight="1">
      <c r="A602" s="114"/>
      <c r="B602" s="118"/>
      <c r="C602" s="117"/>
      <c r="D602" s="19">
        <f t="shared" si="350"/>
        <v>-1459</v>
      </c>
      <c r="E602" s="106"/>
      <c r="F602" s="107"/>
      <c r="G602" s="26">
        <f t="shared" si="351"/>
        <v>-1459</v>
      </c>
      <c r="H602" s="133"/>
      <c r="I602" s="117"/>
      <c r="J602" s="19">
        <f t="shared" si="352"/>
        <v>-1459</v>
      </c>
      <c r="K602" s="106"/>
      <c r="L602" s="107"/>
      <c r="M602" s="26">
        <f t="shared" si="353"/>
        <v>-1459</v>
      </c>
      <c r="N602" s="117"/>
      <c r="O602" s="117"/>
      <c r="P602" s="38">
        <f t="shared" si="354"/>
        <v>-1459</v>
      </c>
      <c r="Q602" s="106"/>
      <c r="R602" s="107"/>
      <c r="S602" s="26">
        <f t="shared" si="355"/>
        <v>-1459</v>
      </c>
      <c r="T602" s="136"/>
      <c r="U602" s="136"/>
      <c r="V602" s="45">
        <f t="shared" si="356"/>
        <v>-1459</v>
      </c>
      <c r="W602" s="143"/>
    </row>
    <row r="603" spans="1:23" ht="15.75" customHeight="1">
      <c r="A603" s="114"/>
      <c r="B603" s="118"/>
      <c r="C603" s="117"/>
      <c r="D603" s="19">
        <f t="shared" si="350"/>
        <v>-1459</v>
      </c>
      <c r="E603" s="106"/>
      <c r="F603" s="107"/>
      <c r="G603" s="26">
        <f t="shared" si="351"/>
        <v>-1459</v>
      </c>
      <c r="H603" s="133"/>
      <c r="I603" s="117"/>
      <c r="J603" s="19">
        <f t="shared" si="352"/>
        <v>-1459</v>
      </c>
      <c r="K603" s="106"/>
      <c r="L603" s="107"/>
      <c r="M603" s="26">
        <f t="shared" si="353"/>
        <v>-1459</v>
      </c>
      <c r="N603" s="117"/>
      <c r="O603" s="117"/>
      <c r="P603" s="38">
        <f t="shared" si="354"/>
        <v>-1459</v>
      </c>
      <c r="Q603" s="106"/>
      <c r="R603" s="107"/>
      <c r="S603" s="26">
        <f t="shared" si="355"/>
        <v>-1459</v>
      </c>
      <c r="T603" s="136"/>
      <c r="U603" s="136"/>
      <c r="V603" s="45">
        <f t="shared" si="356"/>
        <v>-1459</v>
      </c>
      <c r="W603" s="143"/>
    </row>
    <row r="604" spans="1:23" ht="15.75" customHeight="1">
      <c r="A604" s="114"/>
      <c r="B604" s="117"/>
      <c r="C604" s="117"/>
      <c r="D604" s="19">
        <f t="shared" si="350"/>
        <v>-1459</v>
      </c>
      <c r="E604" s="106"/>
      <c r="F604" s="107"/>
      <c r="G604" s="26">
        <f t="shared" si="351"/>
        <v>-1459</v>
      </c>
      <c r="H604" s="133"/>
      <c r="I604" s="117"/>
      <c r="J604" s="19">
        <f t="shared" si="352"/>
        <v>-1459</v>
      </c>
      <c r="K604" s="106"/>
      <c r="L604" s="107"/>
      <c r="M604" s="26">
        <f t="shared" si="353"/>
        <v>-1459</v>
      </c>
      <c r="N604" s="117"/>
      <c r="O604" s="117"/>
      <c r="P604" s="38">
        <f t="shared" si="354"/>
        <v>-1459</v>
      </c>
      <c r="Q604" s="106"/>
      <c r="R604" s="107"/>
      <c r="S604" s="26">
        <f t="shared" si="355"/>
        <v>-1459</v>
      </c>
      <c r="T604" s="136"/>
      <c r="U604" s="136"/>
      <c r="V604" s="45">
        <f t="shared" si="356"/>
        <v>-1459</v>
      </c>
      <c r="W604" s="143"/>
    </row>
    <row r="605" spans="1:23" ht="15.75" customHeight="1">
      <c r="A605" s="114"/>
      <c r="B605" s="117"/>
      <c r="C605" s="117"/>
      <c r="D605" s="19">
        <f t="shared" si="350"/>
        <v>-1459</v>
      </c>
      <c r="E605" s="122"/>
      <c r="F605" s="123"/>
      <c r="G605" s="26">
        <f t="shared" si="351"/>
        <v>-1459</v>
      </c>
      <c r="H605" s="133"/>
      <c r="I605" s="117"/>
      <c r="J605" s="19">
        <f t="shared" si="352"/>
        <v>-1459</v>
      </c>
      <c r="K605" s="122"/>
      <c r="L605" s="123"/>
      <c r="M605" s="26">
        <f t="shared" si="353"/>
        <v>-1459</v>
      </c>
      <c r="N605" s="117"/>
      <c r="O605" s="117"/>
      <c r="P605" s="38">
        <f t="shared" si="354"/>
        <v>-1459</v>
      </c>
      <c r="Q605" s="122"/>
      <c r="R605" s="123"/>
      <c r="S605" s="26">
        <f t="shared" si="355"/>
        <v>-1459</v>
      </c>
      <c r="T605" s="136"/>
      <c r="U605" s="136"/>
      <c r="V605" s="45">
        <f t="shared" si="356"/>
        <v>-1459</v>
      </c>
      <c r="W605" s="143"/>
    </row>
    <row r="606" spans="1:23" ht="15.75" customHeight="1">
      <c r="A606" s="114"/>
      <c r="B606" s="128"/>
      <c r="C606" s="128"/>
      <c r="D606" s="29">
        <f t="shared" si="350"/>
        <v>-1459</v>
      </c>
      <c r="E606" s="122"/>
      <c r="F606" s="123"/>
      <c r="G606" s="53">
        <f t="shared" si="351"/>
        <v>-1459</v>
      </c>
      <c r="H606" s="140"/>
      <c r="I606" s="128"/>
      <c r="J606" s="29">
        <f t="shared" si="352"/>
        <v>-1459</v>
      </c>
      <c r="K606" s="122"/>
      <c r="L606" s="123"/>
      <c r="M606" s="39">
        <f t="shared" si="353"/>
        <v>-1459</v>
      </c>
      <c r="N606" s="128"/>
      <c r="O606" s="128"/>
      <c r="P606" s="40">
        <f t="shared" si="354"/>
        <v>-1459</v>
      </c>
      <c r="Q606" s="122"/>
      <c r="R606" s="123"/>
      <c r="S606" s="39">
        <f t="shared" si="355"/>
        <v>-1459</v>
      </c>
      <c r="T606" s="141"/>
      <c r="U606" s="141"/>
      <c r="V606" s="46">
        <f t="shared" si="356"/>
        <v>-1459</v>
      </c>
      <c r="W606" s="143"/>
    </row>
    <row r="607" spans="1:23" ht="15.75" customHeight="1">
      <c r="A607" s="87"/>
      <c r="B607" s="77">
        <f ca="1">IFERROR(__xludf.DUMMYFUNCTION("DATE(VALUE(LEFT($B$2,4)),VALUE(MID($B$2,6,2)),VALUE(RIGHT($B$2,2)))
+ (VALUE(REGEXEXTRACT(INDIRECT(""A""&amp;ROW()+1),""\d+""))-1)*7
+ INT((COLUMN()-COLUMN($B607))/3)
"),47839)</f>
        <v>47839</v>
      </c>
      <c r="C607" s="81"/>
      <c r="D607" s="82"/>
      <c r="E607" s="77">
        <f ca="1">IFERROR(__xludf.DUMMYFUNCTION("DATE(VALUE(LEFT($B$2,4)),VALUE(MID($B$2,6,2)),VALUE(RIGHT($B$2,2)))
+ (VALUE(REGEXEXTRACT(INDIRECT(""A""&amp;ROW()+1),""\d+""))-1)*7
+ INT((COLUMN()-COLUMN($B607))/3)
"),47840)</f>
        <v>47840</v>
      </c>
      <c r="F607" s="81"/>
      <c r="G607" s="82"/>
      <c r="H607" s="77">
        <f ca="1">IFERROR(__xludf.DUMMYFUNCTION("DATE(VALUE(LEFT($B$2,4)),VALUE(MID($B$2,6,2)),VALUE(RIGHT($B$2,2)))
+ (VALUE(REGEXEXTRACT(INDIRECT(""A""&amp;ROW()+1),""\d+""))-1)*7
+ INT((COLUMN()-COLUMN($B607))/3)
"),47841)</f>
        <v>47841</v>
      </c>
      <c r="I607" s="81"/>
      <c r="J607" s="82"/>
      <c r="K607" s="77">
        <f ca="1">IFERROR(__xludf.DUMMYFUNCTION("DATE(VALUE(LEFT($B$2,4)),VALUE(MID($B$2,6,2)),VALUE(RIGHT($B$2,2)))
+ (VALUE(REGEXEXTRACT(INDIRECT(""A""&amp;ROW()+1),""\d+""))-1)*7
+ INT((COLUMN()-COLUMN($B607))/3)
"),47842)</f>
        <v>47842</v>
      </c>
      <c r="L607" s="81"/>
      <c r="M607" s="82"/>
      <c r="N607" s="77">
        <f ca="1">IFERROR(__xludf.DUMMYFUNCTION("DATE(VALUE(LEFT($B$2,4)),VALUE(MID($B$2,6,2)),VALUE(RIGHT($B$2,2)))
+ (VALUE(REGEXEXTRACT(INDIRECT(""A""&amp;ROW()+1),""\d+""))-1)*7
+ INT((COLUMN()-COLUMN($B607))/3)
"),47843)</f>
        <v>47843</v>
      </c>
      <c r="O607" s="81"/>
      <c r="P607" s="82"/>
      <c r="Q607" s="77">
        <f ca="1">IFERROR(__xludf.DUMMYFUNCTION("DATE(VALUE(LEFT($B$2,4)),VALUE(MID($B$2,6,2)),VALUE(RIGHT($B$2,2)))
+ (VALUE(REGEXEXTRACT(INDIRECT(""A""&amp;ROW()+1),""\d+""))-1)*7
+ INT((COLUMN()-COLUMN($B607))/3)
"),47844)</f>
        <v>47844</v>
      </c>
      <c r="R607" s="81"/>
      <c r="S607" s="82"/>
      <c r="T607" s="77">
        <f ca="1">IFERROR(__xludf.DUMMYFUNCTION("DATE(VALUE(LEFT($B$2,4)),VALUE(MID($B$2,6,2)),VALUE(RIGHT($B$2,2)))
+ (VALUE(REGEXEXTRACT(INDIRECT(""A""&amp;ROW()+1),""\d+""))-1)*7
+ INT((COLUMN()-COLUMN($B607))/3)
"),47845)</f>
        <v>47845</v>
      </c>
      <c r="U607" s="81"/>
      <c r="V607" s="82"/>
      <c r="W607" s="143"/>
    </row>
    <row r="608" spans="1:23" ht="15.75" customHeight="1">
      <c r="A608" s="51" t="s">
        <v>180</v>
      </c>
      <c r="B608" s="112"/>
      <c r="C608" s="111"/>
      <c r="D608" s="17">
        <f>V606+C608</f>
        <v>-1459</v>
      </c>
      <c r="E608" s="109"/>
      <c r="F608" s="109"/>
      <c r="G608" s="54">
        <f>D618+F608</f>
        <v>-1459</v>
      </c>
      <c r="H608" s="110"/>
      <c r="I608" s="111"/>
      <c r="J608" s="17">
        <f>G618+I608</f>
        <v>-1459</v>
      </c>
      <c r="K608" s="109"/>
      <c r="L608" s="109"/>
      <c r="M608" s="35">
        <f>J618+L608</f>
        <v>-1459</v>
      </c>
      <c r="N608" s="112"/>
      <c r="O608" s="111"/>
      <c r="P608" s="17">
        <f>M618+O608</f>
        <v>-1459</v>
      </c>
      <c r="Q608" s="109"/>
      <c r="R608" s="109"/>
      <c r="S608" s="35">
        <f>P618+R608</f>
        <v>-1459</v>
      </c>
      <c r="T608" s="112"/>
      <c r="U608" s="111"/>
      <c r="V608" s="48">
        <f>S618+U608</f>
        <v>-1459</v>
      </c>
      <c r="W608" s="143"/>
    </row>
    <row r="609" spans="1:23" ht="15.75" customHeight="1">
      <c r="A609" s="114"/>
      <c r="B609" s="106"/>
      <c r="C609" s="107"/>
      <c r="D609" s="26">
        <f t="shared" ref="D609:D618" si="357">D608+C609</f>
        <v>-1459</v>
      </c>
      <c r="E609" s="117"/>
      <c r="F609" s="117"/>
      <c r="G609" s="19">
        <f t="shared" ref="G609:G618" si="358">G608+F609</f>
        <v>-1459</v>
      </c>
      <c r="H609" s="116"/>
      <c r="I609" s="107"/>
      <c r="J609" s="26">
        <f t="shared" ref="J609:J618" si="359">J608+I609</f>
        <v>-1459</v>
      </c>
      <c r="K609" s="117"/>
      <c r="L609" s="117"/>
      <c r="M609" s="38">
        <f t="shared" ref="M609:M618" si="360">M608+L609</f>
        <v>-1459</v>
      </c>
      <c r="N609" s="106"/>
      <c r="O609" s="107"/>
      <c r="P609" s="26">
        <f t="shared" ref="P609:P618" si="361">P608+O609</f>
        <v>-1459</v>
      </c>
      <c r="Q609" s="117"/>
      <c r="R609" s="117"/>
      <c r="S609" s="38">
        <f t="shared" ref="S609:S618" si="362">S608+R609</f>
        <v>-1459</v>
      </c>
      <c r="T609" s="106"/>
      <c r="U609" s="107"/>
      <c r="V609" s="20">
        <f t="shared" ref="V609:V618" si="363">V608+U609</f>
        <v>-1459</v>
      </c>
      <c r="W609" s="143"/>
    </row>
    <row r="610" spans="1:23" ht="15.75" customHeight="1">
      <c r="A610" s="114"/>
      <c r="B610" s="106"/>
      <c r="C610" s="107"/>
      <c r="D610" s="26">
        <f t="shared" si="357"/>
        <v>-1459</v>
      </c>
      <c r="E610" s="117"/>
      <c r="F610" s="117"/>
      <c r="G610" s="19">
        <f t="shared" si="358"/>
        <v>-1459</v>
      </c>
      <c r="H610" s="116"/>
      <c r="I610" s="107"/>
      <c r="J610" s="26">
        <f t="shared" si="359"/>
        <v>-1459</v>
      </c>
      <c r="K610" s="117"/>
      <c r="L610" s="117"/>
      <c r="M610" s="38">
        <f t="shared" si="360"/>
        <v>-1459</v>
      </c>
      <c r="N610" s="106"/>
      <c r="O610" s="107"/>
      <c r="P610" s="26">
        <f t="shared" si="361"/>
        <v>-1459</v>
      </c>
      <c r="Q610" s="117"/>
      <c r="R610" s="117"/>
      <c r="S610" s="38">
        <f t="shared" si="362"/>
        <v>-1459</v>
      </c>
      <c r="T610" s="106"/>
      <c r="U610" s="116"/>
      <c r="V610" s="20">
        <f t="shared" si="363"/>
        <v>-1459</v>
      </c>
      <c r="W610" s="143"/>
    </row>
    <row r="611" spans="1:23" ht="15.75" customHeight="1">
      <c r="A611" s="114"/>
      <c r="B611" s="106"/>
      <c r="C611" s="107"/>
      <c r="D611" s="26">
        <f t="shared" si="357"/>
        <v>-1459</v>
      </c>
      <c r="E611" s="117"/>
      <c r="F611" s="117"/>
      <c r="G611" s="19">
        <f t="shared" si="358"/>
        <v>-1459</v>
      </c>
      <c r="H611" s="116"/>
      <c r="I611" s="107"/>
      <c r="J611" s="26">
        <f t="shared" si="359"/>
        <v>-1459</v>
      </c>
      <c r="K611" s="117"/>
      <c r="L611" s="117"/>
      <c r="M611" s="38">
        <f t="shared" si="360"/>
        <v>-1459</v>
      </c>
      <c r="N611" s="106"/>
      <c r="O611" s="107"/>
      <c r="P611" s="26">
        <f t="shared" si="361"/>
        <v>-1459</v>
      </c>
      <c r="Q611" s="117"/>
      <c r="R611" s="117"/>
      <c r="S611" s="38">
        <f t="shared" si="362"/>
        <v>-1459</v>
      </c>
      <c r="T611" s="106"/>
      <c r="U611" s="116"/>
      <c r="V611" s="20">
        <f t="shared" si="363"/>
        <v>-1459</v>
      </c>
      <c r="W611" s="143"/>
    </row>
    <row r="612" spans="1:23" ht="15.75" customHeight="1">
      <c r="A612" s="114"/>
      <c r="B612" s="106"/>
      <c r="C612" s="107"/>
      <c r="D612" s="26">
        <f t="shared" si="357"/>
        <v>-1459</v>
      </c>
      <c r="E612" s="117"/>
      <c r="F612" s="117"/>
      <c r="G612" s="19">
        <f t="shared" si="358"/>
        <v>-1459</v>
      </c>
      <c r="H612" s="116"/>
      <c r="I612" s="107"/>
      <c r="J612" s="26">
        <f t="shared" si="359"/>
        <v>-1459</v>
      </c>
      <c r="K612" s="117"/>
      <c r="L612" s="117"/>
      <c r="M612" s="38">
        <f t="shared" si="360"/>
        <v>-1459</v>
      </c>
      <c r="N612" s="106"/>
      <c r="O612" s="107"/>
      <c r="P612" s="26">
        <f t="shared" si="361"/>
        <v>-1459</v>
      </c>
      <c r="Q612" s="117"/>
      <c r="R612" s="117"/>
      <c r="S612" s="38">
        <f t="shared" si="362"/>
        <v>-1459</v>
      </c>
      <c r="T612" s="106"/>
      <c r="U612" s="116"/>
      <c r="V612" s="20">
        <f t="shared" si="363"/>
        <v>-1459</v>
      </c>
      <c r="W612" s="143"/>
    </row>
    <row r="613" spans="1:23" ht="15.75" customHeight="1">
      <c r="A613" s="114"/>
      <c r="B613" s="106"/>
      <c r="C613" s="107"/>
      <c r="D613" s="26">
        <f t="shared" si="357"/>
        <v>-1459</v>
      </c>
      <c r="E613" s="117"/>
      <c r="F613" s="117"/>
      <c r="G613" s="19">
        <f t="shared" si="358"/>
        <v>-1459</v>
      </c>
      <c r="H613" s="116"/>
      <c r="I613" s="107"/>
      <c r="J613" s="26">
        <f t="shared" si="359"/>
        <v>-1459</v>
      </c>
      <c r="K613" s="117"/>
      <c r="L613" s="117"/>
      <c r="M613" s="38">
        <f t="shared" si="360"/>
        <v>-1459</v>
      </c>
      <c r="N613" s="106"/>
      <c r="O613" s="107"/>
      <c r="P613" s="26">
        <f t="shared" si="361"/>
        <v>-1459</v>
      </c>
      <c r="Q613" s="117"/>
      <c r="R613" s="117"/>
      <c r="S613" s="38">
        <f t="shared" si="362"/>
        <v>-1459</v>
      </c>
      <c r="T613" s="106"/>
      <c r="U613" s="116"/>
      <c r="V613" s="20">
        <f t="shared" si="363"/>
        <v>-1459</v>
      </c>
      <c r="W613" s="143"/>
    </row>
    <row r="614" spans="1:23" ht="15.75" customHeight="1">
      <c r="A614" s="114"/>
      <c r="B614" s="106"/>
      <c r="C614" s="107"/>
      <c r="D614" s="26">
        <f t="shared" si="357"/>
        <v>-1459</v>
      </c>
      <c r="E614" s="117"/>
      <c r="F614" s="117"/>
      <c r="G614" s="19">
        <f t="shared" si="358"/>
        <v>-1459</v>
      </c>
      <c r="H614" s="116"/>
      <c r="I614" s="107"/>
      <c r="J614" s="26">
        <f t="shared" si="359"/>
        <v>-1459</v>
      </c>
      <c r="K614" s="117"/>
      <c r="L614" s="117"/>
      <c r="M614" s="38">
        <f t="shared" si="360"/>
        <v>-1459</v>
      </c>
      <c r="N614" s="106"/>
      <c r="O614" s="107"/>
      <c r="P614" s="26">
        <f t="shared" si="361"/>
        <v>-1459</v>
      </c>
      <c r="Q614" s="117"/>
      <c r="R614" s="117"/>
      <c r="S614" s="38">
        <f t="shared" si="362"/>
        <v>-1459</v>
      </c>
      <c r="T614" s="106"/>
      <c r="U614" s="116"/>
      <c r="V614" s="20">
        <f t="shared" si="363"/>
        <v>-1459</v>
      </c>
      <c r="W614" s="143"/>
    </row>
    <row r="615" spans="1:23" ht="15.75" customHeight="1">
      <c r="A615" s="114"/>
      <c r="B615" s="106"/>
      <c r="C615" s="107"/>
      <c r="D615" s="26">
        <f t="shared" si="357"/>
        <v>-1459</v>
      </c>
      <c r="E615" s="117"/>
      <c r="F615" s="117"/>
      <c r="G615" s="19">
        <f t="shared" si="358"/>
        <v>-1459</v>
      </c>
      <c r="H615" s="116"/>
      <c r="I615" s="107"/>
      <c r="J615" s="26">
        <f t="shared" si="359"/>
        <v>-1459</v>
      </c>
      <c r="K615" s="117"/>
      <c r="L615" s="117"/>
      <c r="M615" s="38">
        <f t="shared" si="360"/>
        <v>-1459</v>
      </c>
      <c r="N615" s="106"/>
      <c r="O615" s="107"/>
      <c r="P615" s="26">
        <f t="shared" si="361"/>
        <v>-1459</v>
      </c>
      <c r="Q615" s="117"/>
      <c r="R615" s="117"/>
      <c r="S615" s="38">
        <f t="shared" si="362"/>
        <v>-1459</v>
      </c>
      <c r="T615" s="106"/>
      <c r="U615" s="116"/>
      <c r="V615" s="20">
        <f t="shared" si="363"/>
        <v>-1459</v>
      </c>
      <c r="W615" s="143"/>
    </row>
    <row r="616" spans="1:23" ht="15.75" customHeight="1">
      <c r="A616" s="114"/>
      <c r="B616" s="122"/>
      <c r="C616" s="123"/>
      <c r="D616" s="26">
        <f t="shared" si="357"/>
        <v>-1459</v>
      </c>
      <c r="E616" s="117"/>
      <c r="F616" s="117"/>
      <c r="G616" s="19">
        <f t="shared" si="358"/>
        <v>-1459</v>
      </c>
      <c r="H616" s="124"/>
      <c r="I616" s="123"/>
      <c r="J616" s="26">
        <f t="shared" si="359"/>
        <v>-1459</v>
      </c>
      <c r="K616" s="117"/>
      <c r="L616" s="117"/>
      <c r="M616" s="38">
        <f t="shared" si="360"/>
        <v>-1459</v>
      </c>
      <c r="N616" s="122"/>
      <c r="O616" s="123"/>
      <c r="P616" s="26">
        <f t="shared" si="361"/>
        <v>-1459</v>
      </c>
      <c r="Q616" s="117"/>
      <c r="R616" s="117"/>
      <c r="S616" s="38">
        <f t="shared" si="362"/>
        <v>-1459</v>
      </c>
      <c r="T616" s="106"/>
      <c r="U616" s="116"/>
      <c r="V616" s="20">
        <f t="shared" si="363"/>
        <v>-1459</v>
      </c>
      <c r="W616" s="143"/>
    </row>
    <row r="617" spans="1:23" ht="15.75" customHeight="1">
      <c r="A617" s="114"/>
      <c r="B617" s="122"/>
      <c r="C617" s="123"/>
      <c r="D617" s="26">
        <f t="shared" si="357"/>
        <v>-1459</v>
      </c>
      <c r="E617" s="117"/>
      <c r="F617" s="117"/>
      <c r="G617" s="19">
        <f t="shared" si="358"/>
        <v>-1459</v>
      </c>
      <c r="H617" s="124"/>
      <c r="I617" s="123"/>
      <c r="J617" s="26">
        <f t="shared" si="359"/>
        <v>-1459</v>
      </c>
      <c r="K617" s="117"/>
      <c r="L617" s="117"/>
      <c r="M617" s="38">
        <f t="shared" si="360"/>
        <v>-1459</v>
      </c>
      <c r="N617" s="122"/>
      <c r="O617" s="123"/>
      <c r="P617" s="26">
        <f t="shared" si="361"/>
        <v>-1459</v>
      </c>
      <c r="Q617" s="117"/>
      <c r="R617" s="117"/>
      <c r="S617" s="38">
        <f t="shared" si="362"/>
        <v>-1459</v>
      </c>
      <c r="T617" s="122"/>
      <c r="U617" s="124"/>
      <c r="V617" s="20">
        <f t="shared" si="363"/>
        <v>-1459</v>
      </c>
      <c r="W617" s="143"/>
    </row>
    <row r="618" spans="1:23" ht="15.75" customHeight="1">
      <c r="A618" s="114"/>
      <c r="B618" s="122"/>
      <c r="C618" s="123"/>
      <c r="D618" s="39">
        <f t="shared" si="357"/>
        <v>-1459</v>
      </c>
      <c r="E618" s="128"/>
      <c r="F618" s="128"/>
      <c r="G618" s="55">
        <f t="shared" si="358"/>
        <v>-1459</v>
      </c>
      <c r="H618" s="124"/>
      <c r="I618" s="123"/>
      <c r="J618" s="39">
        <f t="shared" si="359"/>
        <v>-1459</v>
      </c>
      <c r="K618" s="128"/>
      <c r="L618" s="128"/>
      <c r="M618" s="40">
        <f t="shared" si="360"/>
        <v>-1459</v>
      </c>
      <c r="N618" s="122"/>
      <c r="O618" s="123"/>
      <c r="P618" s="39">
        <f t="shared" si="361"/>
        <v>-1459</v>
      </c>
      <c r="Q618" s="128"/>
      <c r="R618" s="128"/>
      <c r="S618" s="40">
        <f t="shared" si="362"/>
        <v>-1459</v>
      </c>
      <c r="T618" s="122"/>
      <c r="U618" s="123"/>
      <c r="V618" s="49">
        <f t="shared" si="363"/>
        <v>-1459</v>
      </c>
      <c r="W618" s="143"/>
    </row>
    <row r="619" spans="1:23" ht="15.75" customHeight="1">
      <c r="A619" s="87"/>
      <c r="B619" s="77">
        <f ca="1">IFERROR(__xludf.DUMMYFUNCTION("DATE(VALUE(LEFT($B$2,4)),VALUE(MID($B$2,6,2)),VALUE(RIGHT($B$2,2)))
+ (VALUE(REGEXEXTRACT(INDIRECT(""A""&amp;ROW()+1),""\d+""))-1)*7
+ INT((COLUMN()-COLUMN($B619))/3)
"),47846)</f>
        <v>47846</v>
      </c>
      <c r="C619" s="81"/>
      <c r="D619" s="82"/>
      <c r="E619" s="77">
        <f ca="1">IFERROR(__xludf.DUMMYFUNCTION("DATE(VALUE(LEFT($B$2,4)),VALUE(MID($B$2,6,2)),VALUE(RIGHT($B$2,2)))
+ (VALUE(REGEXEXTRACT(INDIRECT(""A""&amp;ROW()+1),""\d+""))-1)*7
+ INT((COLUMN()-COLUMN($B619))/3)
"),47847)</f>
        <v>47847</v>
      </c>
      <c r="F619" s="81"/>
      <c r="G619" s="82"/>
      <c r="H619" s="77">
        <f ca="1">IFERROR(__xludf.DUMMYFUNCTION("DATE(VALUE(LEFT($B$2,4)),VALUE(MID($B$2,6,2)),VALUE(RIGHT($B$2,2)))
+ (VALUE(REGEXEXTRACT(INDIRECT(""A""&amp;ROW()+1),""\d+""))-1)*7
+ INT((COLUMN()-COLUMN($B619))/3)
"),47848)</f>
        <v>47848</v>
      </c>
      <c r="I619" s="81"/>
      <c r="J619" s="82"/>
      <c r="K619" s="77">
        <f ca="1">IFERROR(__xludf.DUMMYFUNCTION("DATE(VALUE(LEFT($B$2,4)),VALUE(MID($B$2,6,2)),VALUE(RIGHT($B$2,2)))
+ (VALUE(REGEXEXTRACT(INDIRECT(""A""&amp;ROW()+1),""\d+""))-1)*7
+ INT((COLUMN()-COLUMN($B619))/3)
"),47849)</f>
        <v>47849</v>
      </c>
      <c r="L619" s="81"/>
      <c r="M619" s="82"/>
      <c r="N619" s="77">
        <f ca="1">IFERROR(__xludf.DUMMYFUNCTION("DATE(VALUE(LEFT($B$2,4)),VALUE(MID($B$2,6,2)),VALUE(RIGHT($B$2,2)))
+ (VALUE(REGEXEXTRACT(INDIRECT(""A""&amp;ROW()+1),""\d+""))-1)*7
+ INT((COLUMN()-COLUMN($B619))/3)
"),47850)</f>
        <v>47850</v>
      </c>
      <c r="O619" s="81"/>
      <c r="P619" s="82"/>
      <c r="Q619" s="77">
        <f ca="1">IFERROR(__xludf.DUMMYFUNCTION("DATE(VALUE(LEFT($B$2,4)),VALUE(MID($B$2,6,2)),VALUE(RIGHT($B$2,2)))
+ (VALUE(REGEXEXTRACT(INDIRECT(""A""&amp;ROW()+1),""\d+""))-1)*7
+ INT((COLUMN()-COLUMN($B619))/3)
"),47851)</f>
        <v>47851</v>
      </c>
      <c r="R619" s="81"/>
      <c r="S619" s="82"/>
      <c r="T619" s="77">
        <f ca="1">IFERROR(__xludf.DUMMYFUNCTION("DATE(VALUE(LEFT($B$2,4)),VALUE(MID($B$2,6,2)),VALUE(RIGHT($B$2,2)))
+ (VALUE(REGEXEXTRACT(INDIRECT(""A""&amp;ROW()+1),""\d+""))-1)*7
+ INT((COLUMN()-COLUMN($B619))/3)
"),47852)</f>
        <v>47852</v>
      </c>
      <c r="U619" s="81"/>
      <c r="V619" s="82"/>
      <c r="W619" s="52" t="s">
        <v>20</v>
      </c>
    </row>
    <row r="620" spans="1:23" ht="15.75" customHeight="1">
      <c r="A620" s="47" t="s">
        <v>181</v>
      </c>
      <c r="B620" s="113"/>
      <c r="C620" s="109"/>
      <c r="D620" s="42">
        <f>V618+C620</f>
        <v>-1459</v>
      </c>
      <c r="E620" s="112"/>
      <c r="F620" s="111"/>
      <c r="G620" s="36">
        <f>D630+F620</f>
        <v>-1459</v>
      </c>
      <c r="H620" s="132"/>
      <c r="I620" s="109"/>
      <c r="J620" s="42">
        <f>G630+I620</f>
        <v>-1459</v>
      </c>
      <c r="K620" s="112"/>
      <c r="L620" s="111"/>
      <c r="M620" s="18">
        <f>J630+L620</f>
        <v>-1459</v>
      </c>
      <c r="N620" s="113"/>
      <c r="O620" s="109"/>
      <c r="P620" s="35">
        <f>M630+O620</f>
        <v>-1459</v>
      </c>
      <c r="Q620" s="112"/>
      <c r="R620" s="111"/>
      <c r="S620" s="36">
        <f>P630+R620</f>
        <v>-1459</v>
      </c>
      <c r="T620" s="176"/>
      <c r="U620" s="173"/>
      <c r="V620" s="50">
        <f>S630+U620</f>
        <v>-1459</v>
      </c>
      <c r="W620" s="172"/>
    </row>
    <row r="621" spans="1:23" ht="15.75" customHeight="1">
      <c r="A621" s="114"/>
      <c r="B621" s="118"/>
      <c r="C621" s="117"/>
      <c r="D621" s="19">
        <f t="shared" ref="D621:D630" si="364">D620+C621</f>
        <v>-1459</v>
      </c>
      <c r="E621" s="106"/>
      <c r="F621" s="107"/>
      <c r="G621" s="26">
        <f t="shared" ref="G621:G630" si="365">G620+F621</f>
        <v>-1459</v>
      </c>
      <c r="H621" s="133"/>
      <c r="I621" s="117"/>
      <c r="J621" s="19">
        <f t="shared" ref="J621:J630" si="366">J620+I621</f>
        <v>-1459</v>
      </c>
      <c r="K621" s="106"/>
      <c r="L621" s="107"/>
      <c r="M621" s="26">
        <f t="shared" ref="M621:M630" si="367">M620+L621</f>
        <v>-1459</v>
      </c>
      <c r="N621" s="118"/>
      <c r="O621" s="117"/>
      <c r="P621" s="38">
        <f t="shared" ref="P621:P630" si="368">P620+O621</f>
        <v>-1459</v>
      </c>
      <c r="Q621" s="106"/>
      <c r="R621" s="107"/>
      <c r="S621" s="26">
        <f t="shared" ref="S621:S630" si="369">S620+R621</f>
        <v>-1459</v>
      </c>
      <c r="T621" s="177"/>
      <c r="U621" s="136"/>
      <c r="V621" s="45">
        <f t="shared" ref="V621:V630" si="370">V620+U621</f>
        <v>-1459</v>
      </c>
      <c r="W621" s="143"/>
    </row>
    <row r="622" spans="1:23" ht="15.75" customHeight="1">
      <c r="A622" s="114"/>
      <c r="B622" s="118"/>
      <c r="C622" s="117"/>
      <c r="D622" s="19">
        <f t="shared" si="364"/>
        <v>-1459</v>
      </c>
      <c r="E622" s="106"/>
      <c r="F622" s="107"/>
      <c r="G622" s="26">
        <f t="shared" si="365"/>
        <v>-1459</v>
      </c>
      <c r="H622" s="133"/>
      <c r="I622" s="117"/>
      <c r="J622" s="19">
        <f t="shared" si="366"/>
        <v>-1459</v>
      </c>
      <c r="K622" s="106"/>
      <c r="L622" s="107"/>
      <c r="M622" s="26">
        <f t="shared" si="367"/>
        <v>-1459</v>
      </c>
      <c r="N622" s="117"/>
      <c r="O622" s="117"/>
      <c r="P622" s="38">
        <f t="shared" si="368"/>
        <v>-1459</v>
      </c>
      <c r="Q622" s="106"/>
      <c r="R622" s="107"/>
      <c r="S622" s="26">
        <f t="shared" si="369"/>
        <v>-1459</v>
      </c>
      <c r="T622" s="177"/>
      <c r="U622" s="136"/>
      <c r="V622" s="45">
        <f t="shared" si="370"/>
        <v>-1459</v>
      </c>
      <c r="W622" s="143"/>
    </row>
    <row r="623" spans="1:23" ht="15.75" customHeight="1">
      <c r="A623" s="114"/>
      <c r="B623" s="118"/>
      <c r="C623" s="117"/>
      <c r="D623" s="19">
        <f t="shared" si="364"/>
        <v>-1459</v>
      </c>
      <c r="E623" s="106"/>
      <c r="F623" s="107"/>
      <c r="G623" s="26">
        <f t="shared" si="365"/>
        <v>-1459</v>
      </c>
      <c r="H623" s="133"/>
      <c r="I623" s="117"/>
      <c r="J623" s="19">
        <f t="shared" si="366"/>
        <v>-1459</v>
      </c>
      <c r="K623" s="106"/>
      <c r="L623" s="107"/>
      <c r="M623" s="26">
        <f t="shared" si="367"/>
        <v>-1459</v>
      </c>
      <c r="N623" s="117"/>
      <c r="O623" s="117"/>
      <c r="P623" s="38">
        <f t="shared" si="368"/>
        <v>-1459</v>
      </c>
      <c r="Q623" s="106"/>
      <c r="R623" s="107"/>
      <c r="S623" s="26">
        <f t="shared" si="369"/>
        <v>-1459</v>
      </c>
      <c r="T623" s="177"/>
      <c r="U623" s="136"/>
      <c r="V623" s="45">
        <f t="shared" si="370"/>
        <v>-1459</v>
      </c>
      <c r="W623" s="143"/>
    </row>
    <row r="624" spans="1:23" ht="15.75" customHeight="1">
      <c r="A624" s="114"/>
      <c r="B624" s="118"/>
      <c r="C624" s="117"/>
      <c r="D624" s="19">
        <f t="shared" si="364"/>
        <v>-1459</v>
      </c>
      <c r="E624" s="106"/>
      <c r="F624" s="107"/>
      <c r="G624" s="26">
        <f t="shared" si="365"/>
        <v>-1459</v>
      </c>
      <c r="H624" s="133"/>
      <c r="I624" s="117"/>
      <c r="J624" s="19">
        <f t="shared" si="366"/>
        <v>-1459</v>
      </c>
      <c r="K624" s="106"/>
      <c r="L624" s="107"/>
      <c r="M624" s="26">
        <f t="shared" si="367"/>
        <v>-1459</v>
      </c>
      <c r="N624" s="117"/>
      <c r="O624" s="117"/>
      <c r="P624" s="38">
        <f t="shared" si="368"/>
        <v>-1459</v>
      </c>
      <c r="Q624" s="106"/>
      <c r="R624" s="107"/>
      <c r="S624" s="26">
        <f t="shared" si="369"/>
        <v>-1459</v>
      </c>
      <c r="T624" s="177"/>
      <c r="U624" s="136"/>
      <c r="V624" s="45">
        <f t="shared" si="370"/>
        <v>-1459</v>
      </c>
      <c r="W624" s="143"/>
    </row>
    <row r="625" spans="1:23" ht="15.75" customHeight="1">
      <c r="A625" s="114"/>
      <c r="B625" s="118"/>
      <c r="C625" s="117"/>
      <c r="D625" s="19">
        <f t="shared" si="364"/>
        <v>-1459</v>
      </c>
      <c r="E625" s="106"/>
      <c r="F625" s="107"/>
      <c r="G625" s="26">
        <f t="shared" si="365"/>
        <v>-1459</v>
      </c>
      <c r="H625" s="133"/>
      <c r="I625" s="117"/>
      <c r="J625" s="19">
        <f t="shared" si="366"/>
        <v>-1459</v>
      </c>
      <c r="K625" s="106"/>
      <c r="L625" s="107"/>
      <c r="M625" s="26">
        <f t="shared" si="367"/>
        <v>-1459</v>
      </c>
      <c r="N625" s="117"/>
      <c r="O625" s="117"/>
      <c r="P625" s="38">
        <f t="shared" si="368"/>
        <v>-1459</v>
      </c>
      <c r="Q625" s="106"/>
      <c r="R625" s="107"/>
      <c r="S625" s="26">
        <f t="shared" si="369"/>
        <v>-1459</v>
      </c>
      <c r="T625" s="177"/>
      <c r="U625" s="136"/>
      <c r="V625" s="45">
        <f t="shared" si="370"/>
        <v>-1459</v>
      </c>
      <c r="W625" s="143"/>
    </row>
    <row r="626" spans="1:23" ht="15.75" customHeight="1">
      <c r="A626" s="114"/>
      <c r="B626" s="117"/>
      <c r="C626" s="117"/>
      <c r="D626" s="19">
        <f t="shared" si="364"/>
        <v>-1459</v>
      </c>
      <c r="E626" s="106"/>
      <c r="F626" s="107"/>
      <c r="G626" s="26">
        <f t="shared" si="365"/>
        <v>-1459</v>
      </c>
      <c r="H626" s="133"/>
      <c r="I626" s="117"/>
      <c r="J626" s="19">
        <f t="shared" si="366"/>
        <v>-1459</v>
      </c>
      <c r="K626" s="106"/>
      <c r="L626" s="107"/>
      <c r="M626" s="26">
        <f t="shared" si="367"/>
        <v>-1459</v>
      </c>
      <c r="N626" s="117"/>
      <c r="O626" s="117"/>
      <c r="P626" s="38">
        <f t="shared" si="368"/>
        <v>-1459</v>
      </c>
      <c r="Q626" s="106"/>
      <c r="R626" s="107"/>
      <c r="S626" s="26">
        <f t="shared" si="369"/>
        <v>-1459</v>
      </c>
      <c r="T626" s="177"/>
      <c r="U626" s="136"/>
      <c r="V626" s="45">
        <f t="shared" si="370"/>
        <v>-1459</v>
      </c>
      <c r="W626" s="143"/>
    </row>
    <row r="627" spans="1:23" ht="15.75" customHeight="1">
      <c r="A627" s="114"/>
      <c r="B627" s="117"/>
      <c r="C627" s="117"/>
      <c r="D627" s="19">
        <f t="shared" si="364"/>
        <v>-1459</v>
      </c>
      <c r="E627" s="106"/>
      <c r="F627" s="107"/>
      <c r="G627" s="26">
        <f t="shared" si="365"/>
        <v>-1459</v>
      </c>
      <c r="H627" s="133"/>
      <c r="I627" s="117"/>
      <c r="J627" s="19">
        <f t="shared" si="366"/>
        <v>-1459</v>
      </c>
      <c r="K627" s="106"/>
      <c r="L627" s="107"/>
      <c r="M627" s="26">
        <f t="shared" si="367"/>
        <v>-1459</v>
      </c>
      <c r="N627" s="117"/>
      <c r="O627" s="117"/>
      <c r="P627" s="38">
        <f t="shared" si="368"/>
        <v>-1459</v>
      </c>
      <c r="Q627" s="106"/>
      <c r="R627" s="107"/>
      <c r="S627" s="26">
        <f t="shared" si="369"/>
        <v>-1459</v>
      </c>
      <c r="T627" s="177"/>
      <c r="U627" s="136"/>
      <c r="V627" s="45">
        <f t="shared" si="370"/>
        <v>-1459</v>
      </c>
      <c r="W627" s="143"/>
    </row>
    <row r="628" spans="1:23" ht="15.75" customHeight="1">
      <c r="A628" s="114"/>
      <c r="B628" s="117"/>
      <c r="C628" s="117"/>
      <c r="D628" s="19">
        <f t="shared" si="364"/>
        <v>-1459</v>
      </c>
      <c r="E628" s="106"/>
      <c r="F628" s="107"/>
      <c r="G628" s="26">
        <f t="shared" si="365"/>
        <v>-1459</v>
      </c>
      <c r="H628" s="133"/>
      <c r="I628" s="117"/>
      <c r="J628" s="19">
        <f t="shared" si="366"/>
        <v>-1459</v>
      </c>
      <c r="K628" s="106"/>
      <c r="L628" s="107"/>
      <c r="M628" s="26">
        <f t="shared" si="367"/>
        <v>-1459</v>
      </c>
      <c r="N628" s="117"/>
      <c r="O628" s="117"/>
      <c r="P628" s="38">
        <f t="shared" si="368"/>
        <v>-1459</v>
      </c>
      <c r="Q628" s="106"/>
      <c r="R628" s="107"/>
      <c r="S628" s="26">
        <f t="shared" si="369"/>
        <v>-1459</v>
      </c>
      <c r="T628" s="177"/>
      <c r="U628" s="136"/>
      <c r="V628" s="45">
        <f t="shared" si="370"/>
        <v>-1459</v>
      </c>
      <c r="W628" s="143"/>
    </row>
    <row r="629" spans="1:23" ht="15.75" customHeight="1">
      <c r="A629" s="114"/>
      <c r="B629" s="117"/>
      <c r="C629" s="117"/>
      <c r="D629" s="19">
        <f t="shared" si="364"/>
        <v>-1459</v>
      </c>
      <c r="E629" s="122"/>
      <c r="F629" s="123"/>
      <c r="G629" s="26">
        <f t="shared" si="365"/>
        <v>-1459</v>
      </c>
      <c r="H629" s="133"/>
      <c r="I629" s="117"/>
      <c r="J629" s="19">
        <f t="shared" si="366"/>
        <v>-1459</v>
      </c>
      <c r="K629" s="122"/>
      <c r="L629" s="123"/>
      <c r="M629" s="26">
        <f t="shared" si="367"/>
        <v>-1459</v>
      </c>
      <c r="N629" s="117"/>
      <c r="O629" s="117"/>
      <c r="P629" s="38">
        <f t="shared" si="368"/>
        <v>-1459</v>
      </c>
      <c r="Q629" s="122"/>
      <c r="R629" s="123"/>
      <c r="S629" s="26">
        <f t="shared" si="369"/>
        <v>-1459</v>
      </c>
      <c r="T629" s="177"/>
      <c r="U629" s="136"/>
      <c r="V629" s="45">
        <f t="shared" si="370"/>
        <v>-1459</v>
      </c>
      <c r="W629" s="143"/>
    </row>
    <row r="630" spans="1:23" ht="15.75" customHeight="1">
      <c r="A630" s="114"/>
      <c r="B630" s="128"/>
      <c r="C630" s="128"/>
      <c r="D630" s="29">
        <f t="shared" si="364"/>
        <v>-1459</v>
      </c>
      <c r="E630" s="122"/>
      <c r="F630" s="123"/>
      <c r="G630" s="53">
        <f t="shared" si="365"/>
        <v>-1459</v>
      </c>
      <c r="H630" s="140"/>
      <c r="I630" s="128"/>
      <c r="J630" s="29">
        <f t="shared" si="366"/>
        <v>-1459</v>
      </c>
      <c r="K630" s="122"/>
      <c r="L630" s="123"/>
      <c r="M630" s="39">
        <f t="shared" si="367"/>
        <v>-1459</v>
      </c>
      <c r="N630" s="128"/>
      <c r="O630" s="128"/>
      <c r="P630" s="40">
        <f t="shared" si="368"/>
        <v>-1459</v>
      </c>
      <c r="Q630" s="122"/>
      <c r="R630" s="123"/>
      <c r="S630" s="53">
        <f t="shared" si="369"/>
        <v>-1459</v>
      </c>
      <c r="T630" s="178"/>
      <c r="U630" s="141"/>
      <c r="V630" s="46">
        <f t="shared" si="370"/>
        <v>-1459</v>
      </c>
      <c r="W630" s="143"/>
    </row>
    <row r="631" spans="1:23" ht="15.75" customHeight="1">
      <c r="A631" s="87"/>
      <c r="B631" s="77">
        <f ca="1">IFERROR(__xludf.DUMMYFUNCTION("DATE(VALUE(LEFT($B$2,4)),VALUE(MID($B$2,6,2)),VALUE(RIGHT($B$2,2)))
+ (VALUE(REGEXEXTRACT(INDIRECT(""A""&amp;ROW()+1),""\d+""))-1)*7
+ INT((COLUMN()-COLUMN($B631))/3)
"),47853)</f>
        <v>47853</v>
      </c>
      <c r="C631" s="81"/>
      <c r="D631" s="82"/>
      <c r="E631" s="77">
        <f ca="1">IFERROR(__xludf.DUMMYFUNCTION("DATE(VALUE(LEFT($B$2,4)),VALUE(MID($B$2,6,2)),VALUE(RIGHT($B$2,2)))
+ (VALUE(REGEXEXTRACT(INDIRECT(""A""&amp;ROW()+1),""\d+""))-1)*7
+ INT((COLUMN()-COLUMN($B631))/3)
"),47854)</f>
        <v>47854</v>
      </c>
      <c r="F631" s="81"/>
      <c r="G631" s="82"/>
      <c r="H631" s="77">
        <f ca="1">IFERROR(__xludf.DUMMYFUNCTION("DATE(VALUE(LEFT($B$2,4)),VALUE(MID($B$2,6,2)),VALUE(RIGHT($B$2,2)))
+ (VALUE(REGEXEXTRACT(INDIRECT(""A""&amp;ROW()+1),""\d+""))-1)*7
+ INT((COLUMN()-COLUMN($B631))/3)
"),47855)</f>
        <v>47855</v>
      </c>
      <c r="I631" s="81"/>
      <c r="J631" s="82"/>
      <c r="K631" s="77">
        <f ca="1">IFERROR(__xludf.DUMMYFUNCTION("DATE(VALUE(LEFT($B$2,4)),VALUE(MID($B$2,6,2)),VALUE(RIGHT($B$2,2)))
+ (VALUE(REGEXEXTRACT(INDIRECT(""A""&amp;ROW()+1),""\d+""))-1)*7
+ INT((COLUMN()-COLUMN($B631))/3)
"),47856)</f>
        <v>47856</v>
      </c>
      <c r="L631" s="81"/>
      <c r="M631" s="82"/>
      <c r="N631" s="77">
        <f ca="1">IFERROR(__xludf.DUMMYFUNCTION("DATE(VALUE(LEFT($B$2,4)),VALUE(MID($B$2,6,2)),VALUE(RIGHT($B$2,2)))
+ (VALUE(REGEXEXTRACT(INDIRECT(""A""&amp;ROW()+1),""\d+""))-1)*7
+ INT((COLUMN()-COLUMN($B631))/3)
"),47857)</f>
        <v>47857</v>
      </c>
      <c r="O631" s="81"/>
      <c r="P631" s="82"/>
      <c r="Q631" s="77">
        <f ca="1">IFERROR(__xludf.DUMMYFUNCTION("DATE(VALUE(LEFT($B$2,4)),VALUE(MID($B$2,6,2)),VALUE(RIGHT($B$2,2)))
+ (VALUE(REGEXEXTRACT(INDIRECT(""A""&amp;ROW()+1),""\d+""))-1)*7
+ INT((COLUMN()-COLUMN($B631))/3)
"),47858)</f>
        <v>47858</v>
      </c>
      <c r="R631" s="81"/>
      <c r="S631" s="82"/>
      <c r="T631" s="77">
        <f ca="1">IFERROR(__xludf.DUMMYFUNCTION("DATE(VALUE(LEFT($B$2,4)),VALUE(MID($B$2,6,2)),VALUE(RIGHT($B$2,2)))
+ (VALUE(REGEXEXTRACT(INDIRECT(""A""&amp;ROW()+1),""\d+""))-1)*7
+ INT((COLUMN()-COLUMN($B631))/3)
"),47859)</f>
        <v>47859</v>
      </c>
      <c r="U631" s="81"/>
      <c r="V631" s="82"/>
      <c r="W631" s="143"/>
    </row>
    <row r="632" spans="1:23" ht="15.75" customHeight="1">
      <c r="A632" s="51" t="s">
        <v>182</v>
      </c>
      <c r="B632" s="112"/>
      <c r="C632" s="111"/>
      <c r="D632" s="17">
        <f>V630+C632</f>
        <v>-1459</v>
      </c>
      <c r="E632" s="109"/>
      <c r="F632" s="109"/>
      <c r="G632" s="42">
        <f>D642+F632</f>
        <v>-1459</v>
      </c>
      <c r="H632" s="112"/>
      <c r="I632" s="111"/>
      <c r="J632" s="17">
        <f>G642+I632</f>
        <v>-1459</v>
      </c>
      <c r="K632" s="109"/>
      <c r="L632" s="109"/>
      <c r="M632" s="35">
        <f>J642+L632</f>
        <v>-1459</v>
      </c>
      <c r="N632" s="112"/>
      <c r="O632" s="111"/>
      <c r="P632" s="17">
        <f>M642+O632</f>
        <v>-1459</v>
      </c>
      <c r="Q632" s="109"/>
      <c r="R632" s="109"/>
      <c r="S632" s="54">
        <f>P642+R632</f>
        <v>-1459</v>
      </c>
      <c r="T632" s="110"/>
      <c r="U632" s="111"/>
      <c r="V632" s="48">
        <f>S642+U632</f>
        <v>-1459</v>
      </c>
      <c r="W632" s="143"/>
    </row>
    <row r="633" spans="1:23" ht="15.75" customHeight="1">
      <c r="A633" s="114"/>
      <c r="B633" s="106"/>
      <c r="C633" s="107"/>
      <c r="D633" s="26">
        <f t="shared" ref="D633:D642" si="371">D632+C633</f>
        <v>-1459</v>
      </c>
      <c r="E633" s="117"/>
      <c r="F633" s="117"/>
      <c r="G633" s="19">
        <f t="shared" ref="G633:G642" si="372">G632+F633</f>
        <v>-1459</v>
      </c>
      <c r="H633" s="106"/>
      <c r="I633" s="107"/>
      <c r="J633" s="26">
        <f t="shared" ref="J633:J642" si="373">J632+I633</f>
        <v>-1459</v>
      </c>
      <c r="K633" s="117"/>
      <c r="L633" s="117"/>
      <c r="M633" s="38">
        <f t="shared" ref="M633:M642" si="374">M632+L633</f>
        <v>-1459</v>
      </c>
      <c r="N633" s="106"/>
      <c r="O633" s="107"/>
      <c r="P633" s="26">
        <f t="shared" ref="P633:P642" si="375">P632+O633</f>
        <v>-1459</v>
      </c>
      <c r="Q633" s="117"/>
      <c r="R633" s="117"/>
      <c r="S633" s="19">
        <f t="shared" ref="S633:S642" si="376">S632+R633</f>
        <v>-1459</v>
      </c>
      <c r="T633" s="116"/>
      <c r="U633" s="107"/>
      <c r="V633" s="20">
        <f t="shared" ref="V633:V642" si="377">V632+U633</f>
        <v>-1459</v>
      </c>
      <c r="W633" s="143"/>
    </row>
    <row r="634" spans="1:23" ht="15.75" customHeight="1">
      <c r="A634" s="114"/>
      <c r="B634" s="106"/>
      <c r="C634" s="107"/>
      <c r="D634" s="26">
        <f t="shared" si="371"/>
        <v>-1459</v>
      </c>
      <c r="E634" s="117"/>
      <c r="F634" s="117"/>
      <c r="G634" s="19">
        <f t="shared" si="372"/>
        <v>-1459</v>
      </c>
      <c r="H634" s="106"/>
      <c r="I634" s="107"/>
      <c r="J634" s="26">
        <f t="shared" si="373"/>
        <v>-1459</v>
      </c>
      <c r="K634" s="117"/>
      <c r="L634" s="117"/>
      <c r="M634" s="38">
        <f t="shared" si="374"/>
        <v>-1459</v>
      </c>
      <c r="N634" s="106"/>
      <c r="O634" s="107"/>
      <c r="P634" s="26">
        <f t="shared" si="375"/>
        <v>-1459</v>
      </c>
      <c r="Q634" s="117"/>
      <c r="R634" s="117"/>
      <c r="S634" s="19">
        <f t="shared" si="376"/>
        <v>-1459</v>
      </c>
      <c r="T634" s="116"/>
      <c r="U634" s="116"/>
      <c r="V634" s="20">
        <f t="shared" si="377"/>
        <v>-1459</v>
      </c>
      <c r="W634" s="143"/>
    </row>
    <row r="635" spans="1:23" ht="15.75" customHeight="1">
      <c r="A635" s="114"/>
      <c r="B635" s="106"/>
      <c r="C635" s="107"/>
      <c r="D635" s="26">
        <f t="shared" si="371"/>
        <v>-1459</v>
      </c>
      <c r="E635" s="117"/>
      <c r="F635" s="117"/>
      <c r="G635" s="19">
        <f t="shared" si="372"/>
        <v>-1459</v>
      </c>
      <c r="H635" s="106"/>
      <c r="I635" s="107"/>
      <c r="J635" s="26">
        <f t="shared" si="373"/>
        <v>-1459</v>
      </c>
      <c r="K635" s="117"/>
      <c r="L635" s="117"/>
      <c r="M635" s="38">
        <f t="shared" si="374"/>
        <v>-1459</v>
      </c>
      <c r="N635" s="106"/>
      <c r="O635" s="107"/>
      <c r="P635" s="26">
        <f t="shared" si="375"/>
        <v>-1459</v>
      </c>
      <c r="Q635" s="117"/>
      <c r="R635" s="117"/>
      <c r="S635" s="19">
        <f t="shared" si="376"/>
        <v>-1459</v>
      </c>
      <c r="T635" s="116"/>
      <c r="U635" s="116"/>
      <c r="V635" s="20">
        <f t="shared" si="377"/>
        <v>-1459</v>
      </c>
      <c r="W635" s="143"/>
    </row>
    <row r="636" spans="1:23" ht="15.75" customHeight="1">
      <c r="A636" s="114"/>
      <c r="B636" s="106"/>
      <c r="C636" s="107"/>
      <c r="D636" s="26">
        <f t="shared" si="371"/>
        <v>-1459</v>
      </c>
      <c r="E636" s="117"/>
      <c r="F636" s="117"/>
      <c r="G636" s="19">
        <f t="shared" si="372"/>
        <v>-1459</v>
      </c>
      <c r="H636" s="106"/>
      <c r="I636" s="107"/>
      <c r="J636" s="26">
        <f t="shared" si="373"/>
        <v>-1459</v>
      </c>
      <c r="K636" s="117"/>
      <c r="L636" s="117"/>
      <c r="M636" s="38">
        <f t="shared" si="374"/>
        <v>-1459</v>
      </c>
      <c r="N636" s="106"/>
      <c r="O636" s="107"/>
      <c r="P636" s="26">
        <f t="shared" si="375"/>
        <v>-1459</v>
      </c>
      <c r="Q636" s="117"/>
      <c r="R636" s="117"/>
      <c r="S636" s="19">
        <f t="shared" si="376"/>
        <v>-1459</v>
      </c>
      <c r="T636" s="116"/>
      <c r="U636" s="116"/>
      <c r="V636" s="20">
        <f t="shared" si="377"/>
        <v>-1459</v>
      </c>
      <c r="W636" s="143"/>
    </row>
    <row r="637" spans="1:23" ht="15.75" customHeight="1">
      <c r="A637" s="114"/>
      <c r="B637" s="106"/>
      <c r="C637" s="107"/>
      <c r="D637" s="26">
        <f t="shared" si="371"/>
        <v>-1459</v>
      </c>
      <c r="E637" s="117"/>
      <c r="F637" s="117"/>
      <c r="G637" s="19">
        <f t="shared" si="372"/>
        <v>-1459</v>
      </c>
      <c r="H637" s="106"/>
      <c r="I637" s="107"/>
      <c r="J637" s="26">
        <f t="shared" si="373"/>
        <v>-1459</v>
      </c>
      <c r="K637" s="117"/>
      <c r="L637" s="117"/>
      <c r="M637" s="38">
        <f t="shared" si="374"/>
        <v>-1459</v>
      </c>
      <c r="N637" s="106"/>
      <c r="O637" s="107"/>
      <c r="P637" s="26">
        <f t="shared" si="375"/>
        <v>-1459</v>
      </c>
      <c r="Q637" s="117"/>
      <c r="R637" s="117"/>
      <c r="S637" s="19">
        <f t="shared" si="376"/>
        <v>-1459</v>
      </c>
      <c r="T637" s="116"/>
      <c r="U637" s="116"/>
      <c r="V637" s="20">
        <f t="shared" si="377"/>
        <v>-1459</v>
      </c>
      <c r="W637" s="143"/>
    </row>
    <row r="638" spans="1:23" ht="15.75" customHeight="1">
      <c r="A638" s="114"/>
      <c r="B638" s="106"/>
      <c r="C638" s="107"/>
      <c r="D638" s="26">
        <f t="shared" si="371"/>
        <v>-1459</v>
      </c>
      <c r="E638" s="117"/>
      <c r="F638" s="117"/>
      <c r="G638" s="19">
        <f t="shared" si="372"/>
        <v>-1459</v>
      </c>
      <c r="H638" s="106"/>
      <c r="I638" s="107"/>
      <c r="J638" s="26">
        <f t="shared" si="373"/>
        <v>-1459</v>
      </c>
      <c r="K638" s="117"/>
      <c r="L638" s="117"/>
      <c r="M638" s="38">
        <f t="shared" si="374"/>
        <v>-1459</v>
      </c>
      <c r="N638" s="106"/>
      <c r="O638" s="107"/>
      <c r="P638" s="26">
        <f t="shared" si="375"/>
        <v>-1459</v>
      </c>
      <c r="Q638" s="117"/>
      <c r="R638" s="117"/>
      <c r="S638" s="19">
        <f t="shared" si="376"/>
        <v>-1459</v>
      </c>
      <c r="T638" s="116"/>
      <c r="U638" s="116"/>
      <c r="V638" s="20">
        <f t="shared" si="377"/>
        <v>-1459</v>
      </c>
      <c r="W638" s="143"/>
    </row>
    <row r="639" spans="1:23" ht="15.75" customHeight="1">
      <c r="A639" s="114"/>
      <c r="B639" s="106"/>
      <c r="C639" s="107"/>
      <c r="D639" s="26">
        <f t="shared" si="371"/>
        <v>-1459</v>
      </c>
      <c r="E639" s="117"/>
      <c r="F639" s="117"/>
      <c r="G639" s="19">
        <f t="shared" si="372"/>
        <v>-1459</v>
      </c>
      <c r="H639" s="106"/>
      <c r="I639" s="107"/>
      <c r="J639" s="26">
        <f t="shared" si="373"/>
        <v>-1459</v>
      </c>
      <c r="K639" s="117"/>
      <c r="L639" s="117"/>
      <c r="M639" s="38">
        <f t="shared" si="374"/>
        <v>-1459</v>
      </c>
      <c r="N639" s="106"/>
      <c r="O639" s="107"/>
      <c r="P639" s="26">
        <f t="shared" si="375"/>
        <v>-1459</v>
      </c>
      <c r="Q639" s="117"/>
      <c r="R639" s="117"/>
      <c r="S639" s="19">
        <f t="shared" si="376"/>
        <v>-1459</v>
      </c>
      <c r="T639" s="116"/>
      <c r="U639" s="116"/>
      <c r="V639" s="20">
        <f t="shared" si="377"/>
        <v>-1459</v>
      </c>
      <c r="W639" s="143"/>
    </row>
    <row r="640" spans="1:23" ht="15.75" customHeight="1">
      <c r="A640" s="114"/>
      <c r="B640" s="122"/>
      <c r="C640" s="123"/>
      <c r="D640" s="26">
        <f t="shared" si="371"/>
        <v>-1459</v>
      </c>
      <c r="E640" s="117"/>
      <c r="F640" s="117"/>
      <c r="G640" s="19">
        <f t="shared" si="372"/>
        <v>-1459</v>
      </c>
      <c r="H640" s="122"/>
      <c r="I640" s="123"/>
      <c r="J640" s="26">
        <f t="shared" si="373"/>
        <v>-1459</v>
      </c>
      <c r="K640" s="117"/>
      <c r="L640" s="117"/>
      <c r="M640" s="38">
        <f t="shared" si="374"/>
        <v>-1459</v>
      </c>
      <c r="N640" s="122"/>
      <c r="O640" s="123"/>
      <c r="P640" s="26">
        <f t="shared" si="375"/>
        <v>-1459</v>
      </c>
      <c r="Q640" s="117"/>
      <c r="R640" s="117"/>
      <c r="S640" s="19">
        <f t="shared" si="376"/>
        <v>-1459</v>
      </c>
      <c r="T640" s="116"/>
      <c r="U640" s="116"/>
      <c r="V640" s="20">
        <f t="shared" si="377"/>
        <v>-1459</v>
      </c>
      <c r="W640" s="143"/>
    </row>
    <row r="641" spans="1:23" ht="15.75" customHeight="1">
      <c r="A641" s="114"/>
      <c r="B641" s="122"/>
      <c r="C641" s="123"/>
      <c r="D641" s="26">
        <f t="shared" si="371"/>
        <v>-1459</v>
      </c>
      <c r="E641" s="117"/>
      <c r="F641" s="117"/>
      <c r="G641" s="19">
        <f t="shared" si="372"/>
        <v>-1459</v>
      </c>
      <c r="H641" s="122"/>
      <c r="I641" s="123"/>
      <c r="J641" s="26">
        <f t="shared" si="373"/>
        <v>-1459</v>
      </c>
      <c r="K641" s="117"/>
      <c r="L641" s="117"/>
      <c r="M641" s="38">
        <f t="shared" si="374"/>
        <v>-1459</v>
      </c>
      <c r="N641" s="122"/>
      <c r="O641" s="123"/>
      <c r="P641" s="26">
        <f t="shared" si="375"/>
        <v>-1459</v>
      </c>
      <c r="Q641" s="117"/>
      <c r="R641" s="117"/>
      <c r="S641" s="19">
        <f t="shared" si="376"/>
        <v>-1459</v>
      </c>
      <c r="T641" s="124"/>
      <c r="U641" s="124"/>
      <c r="V641" s="20">
        <f t="shared" si="377"/>
        <v>-1459</v>
      </c>
      <c r="W641" s="143"/>
    </row>
    <row r="642" spans="1:23" ht="15.75" customHeight="1">
      <c r="A642" s="114"/>
      <c r="B642" s="126"/>
      <c r="C642" s="127"/>
      <c r="D642" s="59">
        <f t="shared" si="371"/>
        <v>-1459</v>
      </c>
      <c r="E642" s="157"/>
      <c r="F642" s="157"/>
      <c r="G642" s="60">
        <f t="shared" si="372"/>
        <v>-1459</v>
      </c>
      <c r="H642" s="126"/>
      <c r="I642" s="127"/>
      <c r="J642" s="59">
        <f t="shared" si="373"/>
        <v>-1459</v>
      </c>
      <c r="K642" s="157"/>
      <c r="L642" s="157"/>
      <c r="M642" s="61">
        <f t="shared" si="374"/>
        <v>-1459</v>
      </c>
      <c r="N642" s="126"/>
      <c r="O642" s="127"/>
      <c r="P642" s="59">
        <f t="shared" si="375"/>
        <v>-1459</v>
      </c>
      <c r="Q642" s="157"/>
      <c r="R642" s="157"/>
      <c r="S642" s="55">
        <f t="shared" si="376"/>
        <v>-1459</v>
      </c>
      <c r="T642" s="181"/>
      <c r="U642" s="127"/>
      <c r="V642" s="62">
        <f t="shared" si="377"/>
        <v>-1459</v>
      </c>
      <c r="W642" s="143"/>
    </row>
    <row r="643" spans="1:23" ht="15.75" customHeight="1">
      <c r="A643" s="5"/>
      <c r="B643" s="74"/>
      <c r="C643" s="65"/>
      <c r="D643" s="66"/>
      <c r="E643" s="74"/>
      <c r="F643" s="65"/>
      <c r="G643" s="66"/>
      <c r="H643" s="74"/>
      <c r="I643" s="65"/>
      <c r="J643" s="66"/>
      <c r="K643" s="74"/>
      <c r="L643" s="65"/>
      <c r="M643" s="66"/>
      <c r="N643" s="74"/>
      <c r="O643" s="65"/>
      <c r="P643" s="66"/>
      <c r="Q643" s="74"/>
      <c r="R643" s="65"/>
      <c r="S643" s="66"/>
      <c r="T643" s="75"/>
      <c r="U643" s="65"/>
      <c r="V643" s="76"/>
      <c r="W643" s="6"/>
    </row>
    <row r="644" spans="1:23" ht="15.75" customHeight="1">
      <c r="A644" s="2"/>
    </row>
    <row r="645" spans="1:23" ht="15.75" customHeight="1">
      <c r="A645" s="2"/>
    </row>
    <row r="646" spans="1:23" ht="15.75" customHeight="1">
      <c r="A646" s="2"/>
    </row>
    <row r="647" spans="1:23" ht="15.75" customHeight="1">
      <c r="A647" s="2"/>
    </row>
    <row r="648" spans="1:23" ht="15.75" customHeight="1">
      <c r="A648" s="2"/>
    </row>
    <row r="649" spans="1:23" ht="15.75" customHeight="1">
      <c r="A649" s="2"/>
    </row>
    <row r="650" spans="1:23" ht="15.75" customHeight="1">
      <c r="A650" s="2"/>
    </row>
    <row r="651" spans="1:23" ht="15.75" customHeight="1">
      <c r="A651" s="2"/>
      <c r="I651" s="3" t="s">
        <v>120</v>
      </c>
    </row>
    <row r="652" spans="1:23" ht="15.75" customHeight="1">
      <c r="A652" s="2"/>
    </row>
    <row r="653" spans="1:23" ht="15.75" customHeight="1">
      <c r="A653" s="2"/>
    </row>
    <row r="654" spans="1:23" ht="15.75" customHeight="1">
      <c r="A654" s="2"/>
    </row>
    <row r="655" spans="1:23" ht="15.75" customHeight="1">
      <c r="A655" s="2"/>
    </row>
    <row r="656" spans="1:23"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386">
    <mergeCell ref="E535:G535"/>
    <mergeCell ref="H535:J535"/>
    <mergeCell ref="K535:M535"/>
    <mergeCell ref="N535:P535"/>
    <mergeCell ref="Q535:S535"/>
    <mergeCell ref="T535:V535"/>
    <mergeCell ref="B535:D535"/>
    <mergeCell ref="E547:G547"/>
    <mergeCell ref="H547:J547"/>
    <mergeCell ref="K547:M547"/>
    <mergeCell ref="N547:P547"/>
    <mergeCell ref="Q547:S547"/>
    <mergeCell ref="T547:V547"/>
    <mergeCell ref="E511:G511"/>
    <mergeCell ref="H511:J511"/>
    <mergeCell ref="K511:M511"/>
    <mergeCell ref="N511:P511"/>
    <mergeCell ref="Q511:S511"/>
    <mergeCell ref="T511:V511"/>
    <mergeCell ref="B511:D511"/>
    <mergeCell ref="E523:G523"/>
    <mergeCell ref="H523:J523"/>
    <mergeCell ref="K523:M523"/>
    <mergeCell ref="N523:P523"/>
    <mergeCell ref="Q523:S523"/>
    <mergeCell ref="T523:V523"/>
    <mergeCell ref="B523:D523"/>
    <mergeCell ref="E487:G487"/>
    <mergeCell ref="H487:J487"/>
    <mergeCell ref="K487:M487"/>
    <mergeCell ref="N487:P487"/>
    <mergeCell ref="Q487:S487"/>
    <mergeCell ref="T487:V487"/>
    <mergeCell ref="B487:D487"/>
    <mergeCell ref="E499:G499"/>
    <mergeCell ref="H499:J499"/>
    <mergeCell ref="K499:M499"/>
    <mergeCell ref="N499:P499"/>
    <mergeCell ref="Q499:S499"/>
    <mergeCell ref="T499:V499"/>
    <mergeCell ref="B499:D499"/>
    <mergeCell ref="E463:G463"/>
    <mergeCell ref="H463:J463"/>
    <mergeCell ref="K463:M463"/>
    <mergeCell ref="N463:P463"/>
    <mergeCell ref="Q463:S463"/>
    <mergeCell ref="T463:V463"/>
    <mergeCell ref="B463:D463"/>
    <mergeCell ref="E475:G475"/>
    <mergeCell ref="H475:J475"/>
    <mergeCell ref="K475:M475"/>
    <mergeCell ref="N475:P475"/>
    <mergeCell ref="Q475:S475"/>
    <mergeCell ref="T475:V475"/>
    <mergeCell ref="B475:D475"/>
    <mergeCell ref="E439:G439"/>
    <mergeCell ref="H439:J439"/>
    <mergeCell ref="K439:M439"/>
    <mergeCell ref="N439:P439"/>
    <mergeCell ref="Q439:S439"/>
    <mergeCell ref="T439:V439"/>
    <mergeCell ref="B439:D439"/>
    <mergeCell ref="E451:G451"/>
    <mergeCell ref="H451:J451"/>
    <mergeCell ref="K451:M451"/>
    <mergeCell ref="N451:P451"/>
    <mergeCell ref="Q451:S451"/>
    <mergeCell ref="T451:V451"/>
    <mergeCell ref="B451:D451"/>
    <mergeCell ref="K415:M415"/>
    <mergeCell ref="N415:P415"/>
    <mergeCell ref="Q415:S415"/>
    <mergeCell ref="T415:V415"/>
    <mergeCell ref="B415:D415"/>
    <mergeCell ref="E427:G427"/>
    <mergeCell ref="H427:J427"/>
    <mergeCell ref="K427:M427"/>
    <mergeCell ref="N427:P427"/>
    <mergeCell ref="Q427:S427"/>
    <mergeCell ref="T427:V427"/>
    <mergeCell ref="B427:D427"/>
    <mergeCell ref="B631:D631"/>
    <mergeCell ref="E631:G631"/>
    <mergeCell ref="H631:J631"/>
    <mergeCell ref="K631:M631"/>
    <mergeCell ref="N631:P631"/>
    <mergeCell ref="Q631:S631"/>
    <mergeCell ref="T631:V631"/>
    <mergeCell ref="B379:D379"/>
    <mergeCell ref="E391:G391"/>
    <mergeCell ref="H391:J391"/>
    <mergeCell ref="K391:M391"/>
    <mergeCell ref="N391:P391"/>
    <mergeCell ref="Q391:S391"/>
    <mergeCell ref="T391:V391"/>
    <mergeCell ref="B391:D391"/>
    <mergeCell ref="E403:G403"/>
    <mergeCell ref="H403:J403"/>
    <mergeCell ref="K403:M403"/>
    <mergeCell ref="N403:P403"/>
    <mergeCell ref="Q403:S403"/>
    <mergeCell ref="T403:V403"/>
    <mergeCell ref="B403:D403"/>
    <mergeCell ref="E415:G415"/>
    <mergeCell ref="H415:J415"/>
    <mergeCell ref="K23:M23"/>
    <mergeCell ref="N23:P23"/>
    <mergeCell ref="Q23:S23"/>
    <mergeCell ref="T23:V23"/>
    <mergeCell ref="B23:D23"/>
    <mergeCell ref="E34:G34"/>
    <mergeCell ref="H34:J34"/>
    <mergeCell ref="K34:M34"/>
    <mergeCell ref="N34:P34"/>
    <mergeCell ref="Q34:S34"/>
    <mergeCell ref="T34:V34"/>
    <mergeCell ref="B34:D34"/>
    <mergeCell ref="B643:D643"/>
    <mergeCell ref="E643:G643"/>
    <mergeCell ref="H643:J643"/>
    <mergeCell ref="K643:M643"/>
    <mergeCell ref="N643:P643"/>
    <mergeCell ref="Q643:S643"/>
    <mergeCell ref="T643:V643"/>
    <mergeCell ref="B1:V1"/>
    <mergeCell ref="E2:G2"/>
    <mergeCell ref="H2:J2"/>
    <mergeCell ref="K2:M2"/>
    <mergeCell ref="N2:P2"/>
    <mergeCell ref="Q2:S2"/>
    <mergeCell ref="T2:V2"/>
    <mergeCell ref="B2:D2"/>
    <mergeCell ref="E12:G12"/>
    <mergeCell ref="H12:J12"/>
    <mergeCell ref="K12:M12"/>
    <mergeCell ref="N12:P12"/>
    <mergeCell ref="Q12:S12"/>
    <mergeCell ref="T12:V12"/>
    <mergeCell ref="B12:D12"/>
    <mergeCell ref="E23:G23"/>
    <mergeCell ref="H23:J23"/>
    <mergeCell ref="E607:G607"/>
    <mergeCell ref="H607:J607"/>
    <mergeCell ref="K607:M607"/>
    <mergeCell ref="N607:P607"/>
    <mergeCell ref="Q607:S607"/>
    <mergeCell ref="T607:V607"/>
    <mergeCell ref="B607:D607"/>
    <mergeCell ref="E619:G619"/>
    <mergeCell ref="H619:J619"/>
    <mergeCell ref="K619:M619"/>
    <mergeCell ref="N619:P619"/>
    <mergeCell ref="Q619:S619"/>
    <mergeCell ref="T619:V619"/>
    <mergeCell ref="B619:D619"/>
    <mergeCell ref="E583:G583"/>
    <mergeCell ref="H583:J583"/>
    <mergeCell ref="K583:M583"/>
    <mergeCell ref="N583:P583"/>
    <mergeCell ref="Q583:S583"/>
    <mergeCell ref="T583:V583"/>
    <mergeCell ref="B583:D583"/>
    <mergeCell ref="E595:G595"/>
    <mergeCell ref="H595:J595"/>
    <mergeCell ref="K595:M595"/>
    <mergeCell ref="N595:P595"/>
    <mergeCell ref="Q595:S595"/>
    <mergeCell ref="T595:V595"/>
    <mergeCell ref="B595:D595"/>
    <mergeCell ref="B547:D547"/>
    <mergeCell ref="E559:G559"/>
    <mergeCell ref="H559:J559"/>
    <mergeCell ref="K559:M559"/>
    <mergeCell ref="N559:P559"/>
    <mergeCell ref="Q559:S559"/>
    <mergeCell ref="T559:V559"/>
    <mergeCell ref="B559:D559"/>
    <mergeCell ref="E571:G571"/>
    <mergeCell ref="H571:J571"/>
    <mergeCell ref="K571:M571"/>
    <mergeCell ref="N571:P571"/>
    <mergeCell ref="Q571:S571"/>
    <mergeCell ref="T571:V571"/>
    <mergeCell ref="B571:D571"/>
    <mergeCell ref="E367:G367"/>
    <mergeCell ref="H367:J367"/>
    <mergeCell ref="K367:M367"/>
    <mergeCell ref="N367:P367"/>
    <mergeCell ref="Q367:S367"/>
    <mergeCell ref="T367:V367"/>
    <mergeCell ref="B367:D367"/>
    <mergeCell ref="E379:G379"/>
    <mergeCell ref="H379:J379"/>
    <mergeCell ref="K379:M379"/>
    <mergeCell ref="N379:P379"/>
    <mergeCell ref="Q379:S379"/>
    <mergeCell ref="T379:V379"/>
    <mergeCell ref="E343:G343"/>
    <mergeCell ref="H343:J343"/>
    <mergeCell ref="K343:M343"/>
    <mergeCell ref="N343:P343"/>
    <mergeCell ref="Q343:S343"/>
    <mergeCell ref="T343:V343"/>
    <mergeCell ref="B343:D343"/>
    <mergeCell ref="E355:G355"/>
    <mergeCell ref="H355:J355"/>
    <mergeCell ref="K355:M355"/>
    <mergeCell ref="N355:P355"/>
    <mergeCell ref="Q355:S355"/>
    <mergeCell ref="T355:V355"/>
    <mergeCell ref="B355:D355"/>
    <mergeCell ref="E319:G319"/>
    <mergeCell ref="H319:J319"/>
    <mergeCell ref="K319:M319"/>
    <mergeCell ref="N319:P319"/>
    <mergeCell ref="Q319:S319"/>
    <mergeCell ref="T319:V319"/>
    <mergeCell ref="B319:D319"/>
    <mergeCell ref="E331:G331"/>
    <mergeCell ref="H331:J331"/>
    <mergeCell ref="K331:M331"/>
    <mergeCell ref="N331:P331"/>
    <mergeCell ref="Q331:S331"/>
    <mergeCell ref="T331:V331"/>
    <mergeCell ref="B331:D331"/>
    <mergeCell ref="E295:G295"/>
    <mergeCell ref="H295:J295"/>
    <mergeCell ref="K295:M295"/>
    <mergeCell ref="N295:P295"/>
    <mergeCell ref="Q295:S295"/>
    <mergeCell ref="T295:V295"/>
    <mergeCell ref="B295:D295"/>
    <mergeCell ref="E307:G307"/>
    <mergeCell ref="H307:J307"/>
    <mergeCell ref="K307:M307"/>
    <mergeCell ref="N307:P307"/>
    <mergeCell ref="Q307:S307"/>
    <mergeCell ref="T307:V307"/>
    <mergeCell ref="B307:D307"/>
    <mergeCell ref="E271:G271"/>
    <mergeCell ref="H271:J271"/>
    <mergeCell ref="K271:M271"/>
    <mergeCell ref="N271:P271"/>
    <mergeCell ref="Q271:S271"/>
    <mergeCell ref="T271:V271"/>
    <mergeCell ref="B271:D271"/>
    <mergeCell ref="E283:G283"/>
    <mergeCell ref="H283:J283"/>
    <mergeCell ref="K283:M283"/>
    <mergeCell ref="N283:P283"/>
    <mergeCell ref="Q283:S283"/>
    <mergeCell ref="T283:V283"/>
    <mergeCell ref="B283:D283"/>
    <mergeCell ref="E247:G247"/>
    <mergeCell ref="H247:J247"/>
    <mergeCell ref="K247:M247"/>
    <mergeCell ref="N247:P247"/>
    <mergeCell ref="Q247:S247"/>
    <mergeCell ref="T247:V247"/>
    <mergeCell ref="B247:D247"/>
    <mergeCell ref="E259:G259"/>
    <mergeCell ref="H259:J259"/>
    <mergeCell ref="K259:M259"/>
    <mergeCell ref="N259:P259"/>
    <mergeCell ref="Q259:S259"/>
    <mergeCell ref="T259:V259"/>
    <mergeCell ref="B259:D259"/>
    <mergeCell ref="E223:G223"/>
    <mergeCell ref="H223:J223"/>
    <mergeCell ref="K223:M223"/>
    <mergeCell ref="N223:P223"/>
    <mergeCell ref="Q223:S223"/>
    <mergeCell ref="T223:V223"/>
    <mergeCell ref="B223:D223"/>
    <mergeCell ref="E235:G235"/>
    <mergeCell ref="H235:J235"/>
    <mergeCell ref="K235:M235"/>
    <mergeCell ref="N235:P235"/>
    <mergeCell ref="Q235:S235"/>
    <mergeCell ref="T235:V235"/>
    <mergeCell ref="B235:D235"/>
    <mergeCell ref="E199:G199"/>
    <mergeCell ref="H199:J199"/>
    <mergeCell ref="K199:M199"/>
    <mergeCell ref="N199:P199"/>
    <mergeCell ref="Q199:S199"/>
    <mergeCell ref="T199:V199"/>
    <mergeCell ref="B199:D199"/>
    <mergeCell ref="E211:G211"/>
    <mergeCell ref="H211:J211"/>
    <mergeCell ref="K211:M211"/>
    <mergeCell ref="N211:P211"/>
    <mergeCell ref="Q211:S211"/>
    <mergeCell ref="T211:V211"/>
    <mergeCell ref="B211:D211"/>
    <mergeCell ref="E175:G175"/>
    <mergeCell ref="H175:J175"/>
    <mergeCell ref="K175:M175"/>
    <mergeCell ref="N175:P175"/>
    <mergeCell ref="Q175:S175"/>
    <mergeCell ref="T175:V175"/>
    <mergeCell ref="B175:D175"/>
    <mergeCell ref="E187:G187"/>
    <mergeCell ref="H187:J187"/>
    <mergeCell ref="K187:M187"/>
    <mergeCell ref="N187:P187"/>
    <mergeCell ref="Q187:S187"/>
    <mergeCell ref="T187:V187"/>
    <mergeCell ref="B187:D187"/>
    <mergeCell ref="E151:G151"/>
    <mergeCell ref="H151:J151"/>
    <mergeCell ref="K151:M151"/>
    <mergeCell ref="N151:P151"/>
    <mergeCell ref="Q151:S151"/>
    <mergeCell ref="T151:V151"/>
    <mergeCell ref="B151:D151"/>
    <mergeCell ref="E163:G163"/>
    <mergeCell ref="H163:J163"/>
    <mergeCell ref="K163:M163"/>
    <mergeCell ref="N163:P163"/>
    <mergeCell ref="Q163:S163"/>
    <mergeCell ref="T163:V163"/>
    <mergeCell ref="B163:D163"/>
    <mergeCell ref="E127:G127"/>
    <mergeCell ref="H127:J127"/>
    <mergeCell ref="K127:M127"/>
    <mergeCell ref="N127:P127"/>
    <mergeCell ref="Q127:S127"/>
    <mergeCell ref="T127:V127"/>
    <mergeCell ref="B127:D127"/>
    <mergeCell ref="E139:G139"/>
    <mergeCell ref="H139:J139"/>
    <mergeCell ref="K139:M139"/>
    <mergeCell ref="N139:P139"/>
    <mergeCell ref="Q139:S139"/>
    <mergeCell ref="T139:V139"/>
    <mergeCell ref="B139:D139"/>
    <mergeCell ref="E103:G103"/>
    <mergeCell ref="H103:J103"/>
    <mergeCell ref="K103:M103"/>
    <mergeCell ref="N103:P103"/>
    <mergeCell ref="Q103:S103"/>
    <mergeCell ref="T103:V103"/>
    <mergeCell ref="B103:D103"/>
    <mergeCell ref="E115:G115"/>
    <mergeCell ref="H115:J115"/>
    <mergeCell ref="K115:M115"/>
    <mergeCell ref="N115:P115"/>
    <mergeCell ref="Q115:S115"/>
    <mergeCell ref="T115:V115"/>
    <mergeCell ref="B115:D115"/>
    <mergeCell ref="E79:G79"/>
    <mergeCell ref="H79:J79"/>
    <mergeCell ref="K79:M79"/>
    <mergeCell ref="N79:P79"/>
    <mergeCell ref="Q79:S79"/>
    <mergeCell ref="T79:V79"/>
    <mergeCell ref="B79:D79"/>
    <mergeCell ref="E91:G91"/>
    <mergeCell ref="H91:J91"/>
    <mergeCell ref="K91:M91"/>
    <mergeCell ref="N91:P91"/>
    <mergeCell ref="Q91:S91"/>
    <mergeCell ref="T91:V91"/>
    <mergeCell ref="B91:D91"/>
    <mergeCell ref="B45:D45"/>
    <mergeCell ref="E57:G57"/>
    <mergeCell ref="H57:J57"/>
    <mergeCell ref="K57:M57"/>
    <mergeCell ref="N57:P57"/>
    <mergeCell ref="Q57:S57"/>
    <mergeCell ref="T57:V57"/>
    <mergeCell ref="B57:D57"/>
    <mergeCell ref="E67:G67"/>
    <mergeCell ref="H67:J67"/>
    <mergeCell ref="K67:M67"/>
    <mergeCell ref="N67:P67"/>
    <mergeCell ref="Q67:S67"/>
    <mergeCell ref="T67:V67"/>
    <mergeCell ref="B67:D67"/>
    <mergeCell ref="E45:G45"/>
    <mergeCell ref="H45:J45"/>
    <mergeCell ref="K45:M45"/>
    <mergeCell ref="N45:P45"/>
    <mergeCell ref="Q45:S45"/>
    <mergeCell ref="T45:V45"/>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zoomScale="70" zoomScaleNormal="70" workbookViewId="0">
      <selection activeCell="G14" sqref="G14"/>
    </sheetView>
  </sheetViews>
  <sheetFormatPr defaultColWidth="14.453125" defaultRowHeight="15" customHeight="1"/>
  <cols>
    <col min="1" max="1" width="18.0898437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29.08984375" customWidth="1"/>
    <col min="24" max="26" width="8.7265625" customWidth="1"/>
  </cols>
  <sheetData>
    <row r="1" spans="1:23" ht="81" customHeight="1">
      <c r="A1" s="85"/>
      <c r="B1" s="79" t="s">
        <v>191</v>
      </c>
      <c r="C1" s="81"/>
      <c r="D1" s="81"/>
      <c r="E1" s="81"/>
      <c r="F1" s="81"/>
      <c r="G1" s="81"/>
      <c r="H1" s="81"/>
      <c r="I1" s="81"/>
      <c r="J1" s="81"/>
      <c r="K1" s="81"/>
      <c r="L1" s="81"/>
      <c r="M1" s="81"/>
      <c r="N1" s="81"/>
      <c r="O1" s="81"/>
      <c r="P1" s="81"/>
      <c r="Q1" s="81"/>
      <c r="R1" s="81"/>
      <c r="S1" s="81"/>
      <c r="T1" s="81"/>
      <c r="U1" s="81"/>
      <c r="V1" s="82"/>
      <c r="W1" s="84"/>
    </row>
    <row r="2" spans="1:23" ht="17.25" customHeight="1">
      <c r="A2" s="85"/>
      <c r="B2" s="80" t="s">
        <v>192</v>
      </c>
      <c r="C2" s="81"/>
      <c r="D2" s="82"/>
      <c r="E2" s="77" t="e">
        <f>DATE(
  VALUE(LEFT($B$2,4)),
  VALUE(MID($B$2,6,2)),
  VALUE(RIGHT($B$2,2))
)
+ INT((COLUMN()-COLUMN($B2))/3)</f>
        <v>#VALUE!</v>
      </c>
      <c r="F2" s="81"/>
      <c r="G2" s="82"/>
      <c r="H2" s="77" t="e">
        <f>DATE(
  VALUE(LEFT($B$2,4)),
  VALUE(MID($B$2,6,2)),
  VALUE(RIGHT($B$2,2))
)
+ INT((COLUMN()-COLUMN($B2))/3)</f>
        <v>#VALUE!</v>
      </c>
      <c r="I2" s="81"/>
      <c r="J2" s="82"/>
      <c r="K2" s="77" t="e">
        <f>DATE(
  VALUE(LEFT($B$2,4)),
  VALUE(MID($B$2,6,2)),
  VALUE(RIGHT($B$2,2))
)
+ INT((COLUMN()-COLUMN($B2))/3)</f>
        <v>#VALUE!</v>
      </c>
      <c r="L2" s="81"/>
      <c r="M2" s="82"/>
      <c r="N2" s="77" t="e">
        <f>DATE(
  VALUE(LEFT($B$2,4)),
  VALUE(MID($B$2,6,2)),
  VALUE(RIGHT($B$2,2))
)
+ INT((COLUMN()-COLUMN($B2))/3)</f>
        <v>#VALUE!</v>
      </c>
      <c r="O2" s="81"/>
      <c r="P2" s="82"/>
      <c r="Q2" s="77" t="e">
        <f>DATE(
  VALUE(LEFT($B$2,4)),
  VALUE(MID($B$2,6,2)),
  VALUE(RIGHT($B$2,2))
)
+ INT((COLUMN()-COLUMN($B2))/3)</f>
        <v>#VALUE!</v>
      </c>
      <c r="R2" s="81"/>
      <c r="S2" s="82"/>
      <c r="T2" s="77" t="e">
        <f>DATE(
  VALUE(LEFT($B$2,4)),
  VALUE(MID($B$2,6,2)),
  VALUE(RIGHT($B$2,2))
)
+ INT((COLUMN()-COLUMN($B2))/3)</f>
        <v>#VALUE!</v>
      </c>
      <c r="U2" s="81"/>
      <c r="V2" s="82"/>
      <c r="W2" s="86" t="s">
        <v>2</v>
      </c>
    </row>
    <row r="3" spans="1:23" ht="17.25" customHeight="1">
      <c r="A3" s="7" t="s">
        <v>21</v>
      </c>
      <c r="B3" s="8" t="s">
        <v>123</v>
      </c>
      <c r="C3" s="9" t="s">
        <v>124</v>
      </c>
      <c r="D3" s="10" t="s">
        <v>125</v>
      </c>
      <c r="E3" s="11" t="s">
        <v>123</v>
      </c>
      <c r="F3" s="12" t="s">
        <v>124</v>
      </c>
      <c r="G3" s="13" t="s">
        <v>125</v>
      </c>
      <c r="H3" s="11" t="s">
        <v>123</v>
      </c>
      <c r="I3" s="12" t="s">
        <v>124</v>
      </c>
      <c r="J3" s="13" t="s">
        <v>125</v>
      </c>
      <c r="K3" s="11" t="s">
        <v>123</v>
      </c>
      <c r="L3" s="12" t="s">
        <v>124</v>
      </c>
      <c r="M3" s="13" t="s">
        <v>125</v>
      </c>
      <c r="N3" s="11" t="s">
        <v>123</v>
      </c>
      <c r="O3" s="12" t="s">
        <v>124</v>
      </c>
      <c r="P3" s="13" t="s">
        <v>125</v>
      </c>
      <c r="Q3" s="11" t="s">
        <v>123</v>
      </c>
      <c r="R3" s="12" t="s">
        <v>124</v>
      </c>
      <c r="S3" s="13" t="s">
        <v>125</v>
      </c>
      <c r="T3" s="11" t="s">
        <v>123</v>
      </c>
      <c r="U3" s="12" t="s">
        <v>124</v>
      </c>
      <c r="V3" s="13" t="s">
        <v>125</v>
      </c>
      <c r="W3" s="90" t="s">
        <v>4</v>
      </c>
    </row>
    <row r="4" spans="1:23" ht="15" customHeight="1">
      <c r="A4" s="14" t="s">
        <v>126</v>
      </c>
      <c r="B4" s="117"/>
      <c r="C4" s="117"/>
      <c r="D4" s="15" t="s">
        <v>127</v>
      </c>
      <c r="E4" s="112"/>
      <c r="F4" s="111"/>
      <c r="G4" s="17">
        <f>SUM(D11+F4)</f>
        <v>0</v>
      </c>
      <c r="H4" s="117"/>
      <c r="I4" s="117"/>
      <c r="J4" s="15">
        <f>G11+I4</f>
        <v>0</v>
      </c>
      <c r="K4" s="112"/>
      <c r="L4" s="111"/>
      <c r="M4" s="18">
        <f>J11+L4</f>
        <v>0</v>
      </c>
      <c r="N4" s="118"/>
      <c r="O4" s="117"/>
      <c r="P4" s="15">
        <f>M11+O4</f>
        <v>0</v>
      </c>
      <c r="Q4" s="112"/>
      <c r="R4" s="111"/>
      <c r="S4" s="18">
        <f>P11+R4</f>
        <v>-725</v>
      </c>
      <c r="T4" s="118"/>
      <c r="U4" s="117"/>
      <c r="V4" s="15">
        <f>S11+U4</f>
        <v>-725</v>
      </c>
      <c r="W4" s="95"/>
    </row>
    <row r="5" spans="1:23" ht="15" customHeight="1">
      <c r="A5" s="91"/>
      <c r="B5" s="117"/>
      <c r="C5" s="117"/>
      <c r="D5" s="19" t="s">
        <v>129</v>
      </c>
      <c r="E5" s="106"/>
      <c r="F5" s="107"/>
      <c r="G5" s="17">
        <f t="shared" ref="G5:G11" si="0">SUM(G4+F5)</f>
        <v>0</v>
      </c>
      <c r="H5" s="117"/>
      <c r="I5" s="117"/>
      <c r="J5" s="19">
        <f t="shared" ref="J5:J11" si="1">J4+I5</f>
        <v>0</v>
      </c>
      <c r="K5" s="106"/>
      <c r="L5" s="107"/>
      <c r="M5" s="20">
        <f t="shared" ref="M5:M11" si="2">M4+L5</f>
        <v>0</v>
      </c>
      <c r="N5" s="21" t="s">
        <v>30</v>
      </c>
      <c r="O5" s="22">
        <v>-725</v>
      </c>
      <c r="P5" s="19">
        <f t="shared" ref="P5:P11" si="3">P4+O5</f>
        <v>-725</v>
      </c>
      <c r="Q5" s="106"/>
      <c r="R5" s="107"/>
      <c r="S5" s="23">
        <f t="shared" ref="S5:S11" si="4">S4+R5</f>
        <v>-725</v>
      </c>
      <c r="T5" s="118"/>
      <c r="U5" s="117"/>
      <c r="V5" s="19">
        <f t="shared" ref="V5:V11" si="5">V4+U5</f>
        <v>-725</v>
      </c>
      <c r="W5" s="96" t="s">
        <v>5</v>
      </c>
    </row>
    <row r="6" spans="1:23" ht="15" customHeight="1">
      <c r="A6" s="91"/>
      <c r="B6" s="63" t="s">
        <v>131</v>
      </c>
      <c r="C6" s="117"/>
      <c r="D6" s="19" t="s">
        <v>129</v>
      </c>
      <c r="E6" s="106"/>
      <c r="F6" s="107"/>
      <c r="G6" s="17">
        <f t="shared" si="0"/>
        <v>0</v>
      </c>
      <c r="H6" s="117"/>
      <c r="I6" s="117"/>
      <c r="J6" s="19">
        <f t="shared" si="1"/>
        <v>0</v>
      </c>
      <c r="K6" s="106"/>
      <c r="L6" s="107"/>
      <c r="M6" s="26">
        <f t="shared" si="2"/>
        <v>0</v>
      </c>
      <c r="N6" s="118"/>
      <c r="O6" s="117"/>
      <c r="P6" s="19">
        <f t="shared" si="3"/>
        <v>-725</v>
      </c>
      <c r="Q6" s="106"/>
      <c r="R6" s="107"/>
      <c r="S6" s="23">
        <f t="shared" si="4"/>
        <v>-725</v>
      </c>
      <c r="T6" s="118"/>
      <c r="U6" s="117"/>
      <c r="V6" s="19">
        <f t="shared" si="5"/>
        <v>-725</v>
      </c>
      <c r="W6" s="96" t="s">
        <v>6</v>
      </c>
    </row>
    <row r="7" spans="1:23" ht="15" customHeight="1">
      <c r="A7" s="91"/>
      <c r="B7" s="64" t="s">
        <v>125</v>
      </c>
      <c r="C7" s="117"/>
      <c r="D7" s="19">
        <v>0</v>
      </c>
      <c r="E7" s="106"/>
      <c r="F7" s="107"/>
      <c r="G7" s="17">
        <f t="shared" si="0"/>
        <v>0</v>
      </c>
      <c r="H7" s="117"/>
      <c r="I7" s="117"/>
      <c r="J7" s="19">
        <f t="shared" si="1"/>
        <v>0</v>
      </c>
      <c r="K7" s="106"/>
      <c r="L7" s="107"/>
      <c r="M7" s="26">
        <f t="shared" si="2"/>
        <v>0</v>
      </c>
      <c r="N7" s="118"/>
      <c r="O7" s="117"/>
      <c r="P7" s="19">
        <f t="shared" si="3"/>
        <v>-725</v>
      </c>
      <c r="Q7" s="106"/>
      <c r="R7" s="107"/>
      <c r="S7" s="23">
        <f t="shared" si="4"/>
        <v>-725</v>
      </c>
      <c r="T7" s="118"/>
      <c r="U7" s="117"/>
      <c r="V7" s="19">
        <f t="shared" si="5"/>
        <v>-725</v>
      </c>
      <c r="W7" s="96" t="s">
        <v>7</v>
      </c>
    </row>
    <row r="8" spans="1:23" ht="15" customHeight="1">
      <c r="A8" s="91"/>
      <c r="B8" s="118"/>
      <c r="C8" s="117"/>
      <c r="D8" s="19">
        <f t="shared" ref="D8:D11" si="6">D7+C8</f>
        <v>0</v>
      </c>
      <c r="E8" s="106"/>
      <c r="F8" s="107"/>
      <c r="G8" s="17">
        <f t="shared" si="0"/>
        <v>0</v>
      </c>
      <c r="H8" s="117"/>
      <c r="I8" s="117"/>
      <c r="J8" s="19">
        <f t="shared" si="1"/>
        <v>0</v>
      </c>
      <c r="K8" s="106"/>
      <c r="L8" s="107"/>
      <c r="M8" s="23">
        <f t="shared" si="2"/>
        <v>0</v>
      </c>
      <c r="N8" s="118"/>
      <c r="O8" s="117"/>
      <c r="P8" s="19">
        <f t="shared" si="3"/>
        <v>-725</v>
      </c>
      <c r="Q8" s="106"/>
      <c r="R8" s="107"/>
      <c r="S8" s="23">
        <f t="shared" si="4"/>
        <v>-725</v>
      </c>
      <c r="T8" s="118"/>
      <c r="U8" s="117"/>
      <c r="V8" s="19">
        <f t="shared" si="5"/>
        <v>-725</v>
      </c>
      <c r="W8" s="96" t="s">
        <v>8</v>
      </c>
    </row>
    <row r="9" spans="1:23" ht="15" customHeight="1">
      <c r="A9" s="91"/>
      <c r="B9" s="118"/>
      <c r="C9" s="117"/>
      <c r="D9" s="19">
        <f t="shared" si="6"/>
        <v>0</v>
      </c>
      <c r="E9" s="106"/>
      <c r="F9" s="107"/>
      <c r="G9" s="17">
        <f t="shared" si="0"/>
        <v>0</v>
      </c>
      <c r="H9" s="118"/>
      <c r="I9" s="117"/>
      <c r="J9" s="19">
        <f t="shared" si="1"/>
        <v>0</v>
      </c>
      <c r="K9" s="106"/>
      <c r="L9" s="107"/>
      <c r="M9" s="23">
        <f t="shared" si="2"/>
        <v>0</v>
      </c>
      <c r="N9" s="118"/>
      <c r="O9" s="117"/>
      <c r="P9" s="19">
        <f t="shared" si="3"/>
        <v>-725</v>
      </c>
      <c r="Q9" s="106"/>
      <c r="R9" s="107"/>
      <c r="S9" s="23">
        <f t="shared" si="4"/>
        <v>-725</v>
      </c>
      <c r="T9" s="118"/>
      <c r="U9" s="117"/>
      <c r="V9" s="19">
        <f t="shared" si="5"/>
        <v>-725</v>
      </c>
      <c r="W9" s="96" t="s">
        <v>9</v>
      </c>
    </row>
    <row r="10" spans="1:23" ht="15" customHeight="1">
      <c r="A10" s="91"/>
      <c r="B10" s="118"/>
      <c r="C10" s="117"/>
      <c r="D10" s="19">
        <f t="shared" si="6"/>
        <v>0</v>
      </c>
      <c r="E10" s="106"/>
      <c r="F10" s="107"/>
      <c r="G10" s="17">
        <f t="shared" si="0"/>
        <v>0</v>
      </c>
      <c r="H10" s="118"/>
      <c r="I10" s="117"/>
      <c r="J10" s="19">
        <f t="shared" si="1"/>
        <v>0</v>
      </c>
      <c r="K10" s="106"/>
      <c r="L10" s="107"/>
      <c r="M10" s="23">
        <f t="shared" si="2"/>
        <v>0</v>
      </c>
      <c r="N10" s="118"/>
      <c r="O10" s="117"/>
      <c r="P10" s="19">
        <f t="shared" si="3"/>
        <v>-725</v>
      </c>
      <c r="Q10" s="106"/>
      <c r="R10" s="107"/>
      <c r="S10" s="23">
        <f t="shared" si="4"/>
        <v>-725</v>
      </c>
      <c r="T10" s="118"/>
      <c r="U10" s="117"/>
      <c r="V10" s="19">
        <f t="shared" si="5"/>
        <v>-725</v>
      </c>
      <c r="W10" s="96" t="s">
        <v>10</v>
      </c>
    </row>
    <row r="11" spans="1:23" ht="15" customHeight="1">
      <c r="A11" s="91"/>
      <c r="B11" s="154"/>
      <c r="C11" s="128"/>
      <c r="D11" s="29">
        <f t="shared" si="6"/>
        <v>0</v>
      </c>
      <c r="E11" s="122"/>
      <c r="F11" s="123"/>
      <c r="G11" s="30">
        <f t="shared" si="0"/>
        <v>0</v>
      </c>
      <c r="H11" s="154"/>
      <c r="I11" s="128"/>
      <c r="J11" s="29">
        <f t="shared" si="1"/>
        <v>0</v>
      </c>
      <c r="K11" s="122"/>
      <c r="L11" s="123"/>
      <c r="M11" s="31">
        <f t="shared" si="2"/>
        <v>0</v>
      </c>
      <c r="N11" s="154"/>
      <c r="O11" s="128"/>
      <c r="P11" s="29">
        <f t="shared" si="3"/>
        <v>-725</v>
      </c>
      <c r="Q11" s="122"/>
      <c r="R11" s="123"/>
      <c r="S11" s="31">
        <f t="shared" si="4"/>
        <v>-725</v>
      </c>
      <c r="T11" s="154"/>
      <c r="U11" s="128"/>
      <c r="V11" s="29">
        <f t="shared" si="5"/>
        <v>-725</v>
      </c>
      <c r="W11" s="32" t="s">
        <v>11</v>
      </c>
    </row>
    <row r="12" spans="1:23" ht="17.25" customHeight="1">
      <c r="A12" s="162"/>
      <c r="B12" s="77" t="e">
        <f>DATE(
  VALUE(LEFT($B$2,4)),
  VALUE(MID($B$2,6,2)),
  VALUE(RIGHT($B$2,2))
) + 7</f>
        <v>#VALUE!</v>
      </c>
      <c r="C12" s="81"/>
      <c r="D12" s="82"/>
      <c r="E12" s="77" t="e">
        <f>DATE(VALUE(LEFT($B$2,4)),VALUE(MID($B$2,6,2)),VALUE(RIGHT($B$2,2)))
+ 7
+ INT((COLUMN()-COLUMN($B12))/3)</f>
        <v>#VALUE!</v>
      </c>
      <c r="F12" s="81"/>
      <c r="G12" s="82"/>
      <c r="H12" s="77" t="e">
        <f>DATE(VALUE(LEFT($B$2,4)),VALUE(MID($B$2,6,2)),VALUE(RIGHT($B$2,2)))
+ 7
+ INT((COLUMN()-COLUMN($B12))/3)</f>
        <v>#VALUE!</v>
      </c>
      <c r="I12" s="81"/>
      <c r="J12" s="82"/>
      <c r="K12" s="77" t="e">
        <f>DATE(VALUE(LEFT($B$2,4)),VALUE(MID($B$2,6,2)),VALUE(RIGHT($B$2,2)))
+ 7
+ INT((COLUMN()-COLUMN($B12))/3)</f>
        <v>#VALUE!</v>
      </c>
      <c r="L12" s="81"/>
      <c r="M12" s="82"/>
      <c r="N12" s="77" t="e">
        <f>DATE(VALUE(LEFT($B$2,4)),VALUE(MID($B$2,6,2)),VALUE(RIGHT($B$2,2)))
+ 7
+ INT((COLUMN()-COLUMN($B12))/3)</f>
        <v>#VALUE!</v>
      </c>
      <c r="O12" s="81"/>
      <c r="P12" s="82"/>
      <c r="Q12" s="77" t="e">
        <f>DATE(VALUE(LEFT($B$2,4)),VALUE(MID($B$2,6,2)),VALUE(RIGHT($B$2,2)))
+ 7
+ INT((COLUMN()-COLUMN($B12))/3)</f>
        <v>#VALUE!</v>
      </c>
      <c r="R12" s="81"/>
      <c r="S12" s="82"/>
      <c r="T12" s="77" t="e">
        <f>DATE(VALUE(LEFT($B$2,4)),VALUE(MID($B$2,6,2)),VALUE(RIGHT($B$2,2)))
+ 7
+ INT((COLUMN()-COLUMN($B12))/3)</f>
        <v>#VALUE!</v>
      </c>
      <c r="U12" s="81"/>
      <c r="V12" s="82"/>
      <c r="W12" s="33" t="s">
        <v>12</v>
      </c>
    </row>
    <row r="13" spans="1:23" ht="15" customHeight="1">
      <c r="A13" s="14" t="s">
        <v>136</v>
      </c>
      <c r="B13" s="34" t="s">
        <v>74</v>
      </c>
      <c r="C13" s="18">
        <v>-75</v>
      </c>
      <c r="D13" s="17">
        <f>V11+C13</f>
        <v>-800</v>
      </c>
      <c r="E13" s="109"/>
      <c r="F13" s="109"/>
      <c r="G13" s="35">
        <f>D22+F13</f>
        <v>-890</v>
      </c>
      <c r="H13" s="112"/>
      <c r="I13" s="111"/>
      <c r="J13" s="17">
        <f>G22+I13</f>
        <v>-890</v>
      </c>
      <c r="K13" s="113"/>
      <c r="L13" s="109"/>
      <c r="M13" s="35">
        <f>J22+L13</f>
        <v>-890</v>
      </c>
      <c r="N13" s="112"/>
      <c r="O13" s="111"/>
      <c r="P13" s="17">
        <f>M22+O13</f>
        <v>-890</v>
      </c>
      <c r="Q13" s="113"/>
      <c r="R13" s="109"/>
      <c r="S13" s="35">
        <f>P22+R13</f>
        <v>-890</v>
      </c>
      <c r="T13" s="112"/>
      <c r="U13" s="111"/>
      <c r="V13" s="36">
        <f>S22+U13</f>
        <v>-890</v>
      </c>
      <c r="W13" s="98" t="s">
        <v>13</v>
      </c>
    </row>
    <row r="14" spans="1:23" ht="15" customHeight="1">
      <c r="A14" s="91"/>
      <c r="B14" s="37" t="s">
        <v>76</v>
      </c>
      <c r="C14" s="23">
        <v>-25</v>
      </c>
      <c r="D14" s="26">
        <f t="shared" ref="D14:D22" si="7">D13+C14</f>
        <v>-825</v>
      </c>
      <c r="E14" s="117"/>
      <c r="F14" s="117"/>
      <c r="G14" s="38">
        <f t="shared" ref="G14:G22" si="8">G13+F14</f>
        <v>-890</v>
      </c>
      <c r="H14" s="106"/>
      <c r="I14" s="107"/>
      <c r="J14" s="26">
        <f t="shared" ref="J14:J22" si="9">J13+I14</f>
        <v>-890</v>
      </c>
      <c r="K14" s="118"/>
      <c r="L14" s="117"/>
      <c r="M14" s="38">
        <f t="shared" ref="M14:M22" si="10">M13+L14</f>
        <v>-890</v>
      </c>
      <c r="N14" s="106"/>
      <c r="O14" s="107"/>
      <c r="P14" s="26">
        <f t="shared" ref="P14:P22" si="11">P13+O14</f>
        <v>-890</v>
      </c>
      <c r="Q14" s="163"/>
      <c r="R14" s="164"/>
      <c r="S14" s="38">
        <f t="shared" ref="S14:S22" si="12">S13+R14</f>
        <v>-890</v>
      </c>
      <c r="T14" s="106"/>
      <c r="U14" s="107"/>
      <c r="V14" s="26">
        <f t="shared" ref="V14:V22" si="13">V13+U14</f>
        <v>-890</v>
      </c>
      <c r="W14" s="99"/>
    </row>
    <row r="15" spans="1:23" ht="15" customHeight="1">
      <c r="A15" s="91"/>
      <c r="B15" s="37" t="s">
        <v>79</v>
      </c>
      <c r="C15" s="23">
        <v>-65</v>
      </c>
      <c r="D15" s="26">
        <f t="shared" si="7"/>
        <v>-890</v>
      </c>
      <c r="E15" s="118"/>
      <c r="F15" s="117"/>
      <c r="G15" s="38">
        <f t="shared" si="8"/>
        <v>-890</v>
      </c>
      <c r="H15" s="106"/>
      <c r="I15" s="107"/>
      <c r="J15" s="26">
        <f t="shared" si="9"/>
        <v>-890</v>
      </c>
      <c r="K15" s="118"/>
      <c r="L15" s="117"/>
      <c r="M15" s="38">
        <f t="shared" si="10"/>
        <v>-890</v>
      </c>
      <c r="N15" s="106"/>
      <c r="O15" s="107"/>
      <c r="P15" s="26">
        <f t="shared" si="11"/>
        <v>-890</v>
      </c>
      <c r="Q15" s="163"/>
      <c r="R15" s="164"/>
      <c r="S15" s="38">
        <f t="shared" si="12"/>
        <v>-890</v>
      </c>
      <c r="T15" s="106"/>
      <c r="U15" s="107"/>
      <c r="V15" s="26">
        <f t="shared" si="13"/>
        <v>-890</v>
      </c>
      <c r="W15" s="100" t="s">
        <v>14</v>
      </c>
    </row>
    <row r="16" spans="1:23" ht="15" customHeight="1">
      <c r="A16" s="91"/>
      <c r="B16" s="106"/>
      <c r="C16" s="107"/>
      <c r="D16" s="26">
        <f t="shared" si="7"/>
        <v>-890</v>
      </c>
      <c r="E16" s="118"/>
      <c r="F16" s="117"/>
      <c r="G16" s="38">
        <f t="shared" si="8"/>
        <v>-890</v>
      </c>
      <c r="H16" s="106"/>
      <c r="I16" s="107"/>
      <c r="J16" s="26">
        <f t="shared" si="9"/>
        <v>-890</v>
      </c>
      <c r="K16" s="118"/>
      <c r="L16" s="117"/>
      <c r="M16" s="38">
        <f t="shared" si="10"/>
        <v>-890</v>
      </c>
      <c r="N16" s="106"/>
      <c r="O16" s="107"/>
      <c r="P16" s="26">
        <f t="shared" si="11"/>
        <v>-890</v>
      </c>
      <c r="Q16" s="163"/>
      <c r="R16" s="164"/>
      <c r="S16" s="38">
        <f t="shared" si="12"/>
        <v>-890</v>
      </c>
      <c r="T16" s="106"/>
      <c r="U16" s="107"/>
      <c r="V16" s="26">
        <f t="shared" si="13"/>
        <v>-890</v>
      </c>
      <c r="W16" s="101" t="s">
        <v>15</v>
      </c>
    </row>
    <row r="17" spans="1:23" ht="15" customHeight="1">
      <c r="A17" s="91"/>
      <c r="B17" s="106"/>
      <c r="C17" s="107"/>
      <c r="D17" s="26">
        <f t="shared" si="7"/>
        <v>-890</v>
      </c>
      <c r="E17" s="118"/>
      <c r="F17" s="117"/>
      <c r="G17" s="38">
        <f t="shared" si="8"/>
        <v>-890</v>
      </c>
      <c r="H17" s="106"/>
      <c r="I17" s="107"/>
      <c r="J17" s="26">
        <f t="shared" si="9"/>
        <v>-890</v>
      </c>
      <c r="K17" s="118"/>
      <c r="L17" s="117"/>
      <c r="M17" s="38">
        <f t="shared" si="10"/>
        <v>-890</v>
      </c>
      <c r="N17" s="106"/>
      <c r="O17" s="107"/>
      <c r="P17" s="26">
        <f t="shared" si="11"/>
        <v>-890</v>
      </c>
      <c r="Q17" s="163"/>
      <c r="R17" s="164"/>
      <c r="S17" s="38">
        <f t="shared" si="12"/>
        <v>-890</v>
      </c>
      <c r="T17" s="106"/>
      <c r="U17" s="107"/>
      <c r="V17" s="26">
        <f t="shared" si="13"/>
        <v>-890</v>
      </c>
      <c r="W17" s="101" t="s">
        <v>16</v>
      </c>
    </row>
    <row r="18" spans="1:23" ht="15" customHeight="1">
      <c r="A18" s="91"/>
      <c r="B18" s="106"/>
      <c r="C18" s="107"/>
      <c r="D18" s="26">
        <f t="shared" si="7"/>
        <v>-890</v>
      </c>
      <c r="E18" s="118"/>
      <c r="F18" s="117"/>
      <c r="G18" s="38">
        <f t="shared" si="8"/>
        <v>-890</v>
      </c>
      <c r="H18" s="106"/>
      <c r="I18" s="107"/>
      <c r="J18" s="26">
        <f t="shared" si="9"/>
        <v>-890</v>
      </c>
      <c r="K18" s="118"/>
      <c r="L18" s="117"/>
      <c r="M18" s="38">
        <f t="shared" si="10"/>
        <v>-890</v>
      </c>
      <c r="N18" s="106"/>
      <c r="O18" s="107"/>
      <c r="P18" s="26">
        <f t="shared" si="11"/>
        <v>-890</v>
      </c>
      <c r="Q18" s="163"/>
      <c r="R18" s="164"/>
      <c r="S18" s="38">
        <f t="shared" si="12"/>
        <v>-890</v>
      </c>
      <c r="T18" s="106"/>
      <c r="U18" s="107"/>
      <c r="V18" s="26">
        <f t="shared" si="13"/>
        <v>-890</v>
      </c>
      <c r="W18" s="101" t="s">
        <v>17</v>
      </c>
    </row>
    <row r="19" spans="1:23" ht="15" customHeight="1">
      <c r="A19" s="91"/>
      <c r="B19" s="106"/>
      <c r="C19" s="107"/>
      <c r="D19" s="26">
        <f t="shared" si="7"/>
        <v>-890</v>
      </c>
      <c r="E19" s="118"/>
      <c r="F19" s="117"/>
      <c r="G19" s="38">
        <f t="shared" si="8"/>
        <v>-890</v>
      </c>
      <c r="H19" s="106"/>
      <c r="I19" s="107"/>
      <c r="J19" s="26">
        <f t="shared" si="9"/>
        <v>-890</v>
      </c>
      <c r="K19" s="118"/>
      <c r="L19" s="117"/>
      <c r="M19" s="38">
        <f t="shared" si="10"/>
        <v>-890</v>
      </c>
      <c r="N19" s="106"/>
      <c r="O19" s="107"/>
      <c r="P19" s="26">
        <f t="shared" si="11"/>
        <v>-890</v>
      </c>
      <c r="Q19" s="163"/>
      <c r="R19" s="164"/>
      <c r="S19" s="38">
        <f t="shared" si="12"/>
        <v>-890</v>
      </c>
      <c r="T19" s="106"/>
      <c r="U19" s="107"/>
      <c r="V19" s="26">
        <f t="shared" si="13"/>
        <v>-890</v>
      </c>
      <c r="W19" s="99"/>
    </row>
    <row r="20" spans="1:23" ht="15" customHeight="1">
      <c r="A20" s="91"/>
      <c r="B20" s="106"/>
      <c r="C20" s="107"/>
      <c r="D20" s="26">
        <f t="shared" si="7"/>
        <v>-890</v>
      </c>
      <c r="E20" s="165"/>
      <c r="F20" s="117"/>
      <c r="G20" s="38">
        <f t="shared" si="8"/>
        <v>-890</v>
      </c>
      <c r="H20" s="106"/>
      <c r="I20" s="107"/>
      <c r="J20" s="26">
        <f t="shared" si="9"/>
        <v>-890</v>
      </c>
      <c r="K20" s="118"/>
      <c r="L20" s="117"/>
      <c r="M20" s="38">
        <f t="shared" si="10"/>
        <v>-890</v>
      </c>
      <c r="N20" s="106"/>
      <c r="O20" s="107"/>
      <c r="P20" s="26">
        <f t="shared" si="11"/>
        <v>-890</v>
      </c>
      <c r="Q20" s="118"/>
      <c r="R20" s="117"/>
      <c r="S20" s="38">
        <f t="shared" si="12"/>
        <v>-890</v>
      </c>
      <c r="T20" s="106"/>
      <c r="U20" s="107"/>
      <c r="V20" s="26">
        <f t="shared" si="13"/>
        <v>-890</v>
      </c>
      <c r="W20" s="100" t="s">
        <v>18</v>
      </c>
    </row>
    <row r="21" spans="1:23" ht="15" customHeight="1">
      <c r="A21" s="91"/>
      <c r="B21" s="106"/>
      <c r="C21" s="107"/>
      <c r="D21" s="26">
        <f t="shared" si="7"/>
        <v>-890</v>
      </c>
      <c r="E21" s="118"/>
      <c r="F21" s="117"/>
      <c r="G21" s="38">
        <f t="shared" si="8"/>
        <v>-890</v>
      </c>
      <c r="H21" s="106"/>
      <c r="I21" s="107"/>
      <c r="J21" s="26">
        <f t="shared" si="9"/>
        <v>-890</v>
      </c>
      <c r="K21" s="118"/>
      <c r="L21" s="117"/>
      <c r="M21" s="38">
        <f t="shared" si="10"/>
        <v>-890</v>
      </c>
      <c r="N21" s="106"/>
      <c r="O21" s="107"/>
      <c r="P21" s="26">
        <f t="shared" si="11"/>
        <v>-890</v>
      </c>
      <c r="Q21" s="118"/>
      <c r="R21" s="117"/>
      <c r="S21" s="38">
        <f t="shared" si="12"/>
        <v>-890</v>
      </c>
      <c r="T21" s="106"/>
      <c r="U21" s="107"/>
      <c r="V21" s="26">
        <f t="shared" si="13"/>
        <v>-890</v>
      </c>
      <c r="W21" s="101" t="s">
        <v>19</v>
      </c>
    </row>
    <row r="22" spans="1:23" ht="15" customHeight="1">
      <c r="A22" s="91"/>
      <c r="B22" s="166"/>
      <c r="C22" s="167"/>
      <c r="D22" s="39">
        <f t="shared" si="7"/>
        <v>-890</v>
      </c>
      <c r="E22" s="154"/>
      <c r="F22" s="128"/>
      <c r="G22" s="40">
        <f t="shared" si="8"/>
        <v>-890</v>
      </c>
      <c r="H22" s="122"/>
      <c r="I22" s="123"/>
      <c r="J22" s="39">
        <f t="shared" si="9"/>
        <v>-890</v>
      </c>
      <c r="K22" s="154"/>
      <c r="L22" s="128"/>
      <c r="M22" s="40">
        <f t="shared" si="10"/>
        <v>-890</v>
      </c>
      <c r="N22" s="122"/>
      <c r="O22" s="123"/>
      <c r="P22" s="39">
        <f t="shared" si="11"/>
        <v>-890</v>
      </c>
      <c r="Q22" s="154"/>
      <c r="R22" s="128"/>
      <c r="S22" s="40">
        <f t="shared" si="12"/>
        <v>-890</v>
      </c>
      <c r="T22" s="122"/>
      <c r="U22" s="123"/>
      <c r="V22" s="39">
        <f t="shared" si="13"/>
        <v>-890</v>
      </c>
      <c r="W22" s="99"/>
    </row>
    <row r="23" spans="1:23" ht="17.25" customHeight="1">
      <c r="A23" s="162"/>
      <c r="B23" s="77" t="str">
        <f ca="1">IFERROR(__xludf.DUMMYFUNCTION("DATE(VALUE(LEFT($B$2,4)),VALUE(MID($B$2,6,2)),VALUE(RIGHT($B$2,2)))
+ (VALUE(REGEXEXTRACT(INDIRECT(""A""&amp;ROW()+1),""\d+""))-1)*7
+ INT((COLUMN()-COLUMN($B23))/3)
"),"#VALUE!")</f>
        <v>#VALUE!</v>
      </c>
      <c r="C23" s="81"/>
      <c r="D23" s="82"/>
      <c r="E23" s="77" t="str">
        <f ca="1">IFERROR(__xludf.DUMMYFUNCTION("DATE(VALUE(LEFT($B$2,4)),VALUE(MID($B$2,6,2)),VALUE(RIGHT($B$2,2)))
+ (VALUE(REGEXEXTRACT(INDIRECT(""A""&amp;ROW()+1),""\d+""))-1)*7
+ INT((COLUMN()-COLUMN($B23))/3)
"),"#VALUE!")</f>
        <v>#VALUE!</v>
      </c>
      <c r="F23" s="81"/>
      <c r="G23" s="82"/>
      <c r="H23" s="77" t="str">
        <f ca="1">IFERROR(__xludf.DUMMYFUNCTION("DATE(VALUE(LEFT($B$2,4)),VALUE(MID($B$2,6,2)),VALUE(RIGHT($B$2,2)))
+ (VALUE(REGEXEXTRACT(INDIRECT(""A""&amp;ROW()+1),""\d+""))-1)*7
+ INT((COLUMN()-COLUMN($B23))/3)
"),"#VALUE!")</f>
        <v>#VALUE!</v>
      </c>
      <c r="I23" s="81"/>
      <c r="J23" s="82"/>
      <c r="K23" s="77" t="str">
        <f ca="1">IFERROR(__xludf.DUMMYFUNCTION("DATE(VALUE(LEFT($B$2,4)),VALUE(MID($B$2,6,2)),VALUE(RIGHT($B$2,2)))
+ (VALUE(REGEXEXTRACT(INDIRECT(""A""&amp;ROW()+1),""\d+""))-1)*7
+ INT((COLUMN()-COLUMN($B23))/3)
"),"#VALUE!")</f>
        <v>#VALUE!</v>
      </c>
      <c r="L23" s="81"/>
      <c r="M23" s="82"/>
      <c r="N23" s="77" t="str">
        <f ca="1">IFERROR(__xludf.DUMMYFUNCTION("DATE(VALUE(LEFT($B$2,4)),VALUE(MID($B$2,6,2)),VALUE(RIGHT($B$2,2)))
+ (VALUE(REGEXEXTRACT(INDIRECT(""A""&amp;ROW()+1),""\d+""))-1)*7
+ INT((COLUMN()-COLUMN($B23))/3)
"),"#VALUE!")</f>
        <v>#VALUE!</v>
      </c>
      <c r="O23" s="81"/>
      <c r="P23" s="82"/>
      <c r="Q23" s="77" t="str">
        <f ca="1">IFERROR(__xludf.DUMMYFUNCTION("DATE(VALUE(LEFT($B$2,4)),VALUE(MID($B$2,6,2)),VALUE(RIGHT($B$2,2)))
+ (VALUE(REGEXEXTRACT(INDIRECT(""A""&amp;ROW()+1),""\d+""))-1)*7
+ INT((COLUMN()-COLUMN($B23))/3)
"),"#VALUE!")</f>
        <v>#VALUE!</v>
      </c>
      <c r="R23" s="81"/>
      <c r="S23" s="82"/>
      <c r="T23" s="77" t="str">
        <f ca="1">IFERROR(__xludf.DUMMYFUNCTION("DATE(VALUE(LEFT($B$2,4)),VALUE(MID($B$2,6,2)),VALUE(RIGHT($B$2,2)))
+ (VALUE(REGEXEXTRACT(INDIRECT(""A""&amp;ROW()+1),""\d+""))-1)*7
+ INT((COLUMN()-COLUMN($B23))/3)
"),"#VALUE!")</f>
        <v>#VALUE!</v>
      </c>
      <c r="U23" s="81"/>
      <c r="V23" s="82"/>
      <c r="W23" s="41" t="s">
        <v>20</v>
      </c>
    </row>
    <row r="24" spans="1:23" ht="15" customHeight="1">
      <c r="A24" s="14" t="s">
        <v>137</v>
      </c>
      <c r="B24" s="35" t="s">
        <v>74</v>
      </c>
      <c r="C24" s="35">
        <v>-75</v>
      </c>
      <c r="D24" s="42">
        <f>V22+C24</f>
        <v>-965</v>
      </c>
      <c r="E24" s="112"/>
      <c r="F24" s="111"/>
      <c r="G24" s="18">
        <f>D33+F24</f>
        <v>-1130</v>
      </c>
      <c r="H24" s="113"/>
      <c r="I24" s="109"/>
      <c r="J24" s="42">
        <f>G33+I24</f>
        <v>-1130</v>
      </c>
      <c r="K24" s="112"/>
      <c r="L24" s="111"/>
      <c r="M24" s="18">
        <f>J33+L24</f>
        <v>-1130</v>
      </c>
      <c r="N24" s="113"/>
      <c r="O24" s="109"/>
      <c r="P24" s="35">
        <f>M33+O24</f>
        <v>-1130</v>
      </c>
      <c r="Q24" s="112"/>
      <c r="R24" s="111"/>
      <c r="S24" s="18">
        <f>P33+F128</f>
        <v>-1130</v>
      </c>
      <c r="T24" s="113"/>
      <c r="U24" s="109"/>
      <c r="V24" s="42">
        <f>S33+U24</f>
        <v>-1130</v>
      </c>
      <c r="W24" s="43">
        <v>500</v>
      </c>
    </row>
    <row r="25" spans="1:23" ht="15" customHeight="1">
      <c r="A25" s="91"/>
      <c r="B25" s="38" t="s">
        <v>76</v>
      </c>
      <c r="C25" s="38">
        <v>-25</v>
      </c>
      <c r="D25" s="19">
        <f t="shared" ref="D25:D33" si="14">D24+C25</f>
        <v>-990</v>
      </c>
      <c r="E25" s="106"/>
      <c r="F25" s="107"/>
      <c r="G25" s="23">
        <f t="shared" ref="G25:G33" si="15">G24+F25</f>
        <v>-1130</v>
      </c>
      <c r="H25" s="118"/>
      <c r="I25" s="117"/>
      <c r="J25" s="19">
        <f t="shared" ref="J25:J33" si="16">J24+I25</f>
        <v>-1130</v>
      </c>
      <c r="K25" s="106"/>
      <c r="L25" s="107"/>
      <c r="M25" s="26">
        <f t="shared" ref="M25:M33" si="17">M24+L25</f>
        <v>-1130</v>
      </c>
      <c r="N25" s="118"/>
      <c r="O25" s="117"/>
      <c r="P25" s="38">
        <f t="shared" ref="P25:P33" si="18">P24+O25</f>
        <v>-1130</v>
      </c>
      <c r="Q25" s="106"/>
      <c r="R25" s="107"/>
      <c r="S25" s="26">
        <f t="shared" ref="S25:S33" si="19">S24+R25</f>
        <v>-1130</v>
      </c>
      <c r="T25" s="118"/>
      <c r="U25" s="117"/>
      <c r="V25" s="19">
        <f t="shared" ref="V25:V33" si="20">V24+U25</f>
        <v>-1130</v>
      </c>
      <c r="W25" s="95"/>
    </row>
    <row r="26" spans="1:23" ht="15" customHeight="1">
      <c r="A26" s="91"/>
      <c r="B26" s="38" t="s">
        <v>90</v>
      </c>
      <c r="C26" s="38">
        <v>-65</v>
      </c>
      <c r="D26" s="19">
        <f t="shared" si="14"/>
        <v>-1055</v>
      </c>
      <c r="E26" s="106"/>
      <c r="F26" s="107"/>
      <c r="G26" s="23">
        <f t="shared" si="15"/>
        <v>-1130</v>
      </c>
      <c r="H26" s="118"/>
      <c r="I26" s="117"/>
      <c r="J26" s="19">
        <f t="shared" si="16"/>
        <v>-1130</v>
      </c>
      <c r="K26" s="106"/>
      <c r="L26" s="107"/>
      <c r="M26" s="26">
        <f t="shared" si="17"/>
        <v>-1130</v>
      </c>
      <c r="N26" s="118"/>
      <c r="O26" s="117"/>
      <c r="P26" s="19">
        <f t="shared" si="18"/>
        <v>-1130</v>
      </c>
      <c r="Q26" s="106"/>
      <c r="R26" s="107"/>
      <c r="S26" s="26">
        <f t="shared" si="19"/>
        <v>-1130</v>
      </c>
      <c r="T26" s="118"/>
      <c r="U26" s="117"/>
      <c r="V26" s="19">
        <f t="shared" si="20"/>
        <v>-1130</v>
      </c>
      <c r="W26" s="95"/>
    </row>
    <row r="27" spans="1:23" ht="15" customHeight="1">
      <c r="A27" s="91"/>
      <c r="B27" s="44" t="s">
        <v>138</v>
      </c>
      <c r="C27" s="38">
        <v>-75</v>
      </c>
      <c r="D27" s="19">
        <f t="shared" si="14"/>
        <v>-1130</v>
      </c>
      <c r="E27" s="106"/>
      <c r="F27" s="107"/>
      <c r="G27" s="23">
        <f t="shared" si="15"/>
        <v>-1130</v>
      </c>
      <c r="H27" s="118"/>
      <c r="I27" s="117"/>
      <c r="J27" s="19">
        <f t="shared" si="16"/>
        <v>-1130</v>
      </c>
      <c r="K27" s="106"/>
      <c r="L27" s="107"/>
      <c r="M27" s="26">
        <f t="shared" si="17"/>
        <v>-1130</v>
      </c>
      <c r="N27" s="118"/>
      <c r="O27" s="117"/>
      <c r="P27" s="38">
        <f t="shared" si="18"/>
        <v>-1130</v>
      </c>
      <c r="Q27" s="106"/>
      <c r="R27" s="107"/>
      <c r="S27" s="26">
        <f t="shared" si="19"/>
        <v>-1130</v>
      </c>
      <c r="T27" s="118"/>
      <c r="U27" s="117"/>
      <c r="V27" s="19">
        <f t="shared" si="20"/>
        <v>-1130</v>
      </c>
      <c r="W27" s="95"/>
    </row>
    <row r="28" spans="1:23" ht="15" customHeight="1">
      <c r="A28" s="91"/>
      <c r="B28" s="117"/>
      <c r="C28" s="117"/>
      <c r="D28" s="19">
        <f t="shared" si="14"/>
        <v>-1130</v>
      </c>
      <c r="E28" s="106"/>
      <c r="F28" s="107"/>
      <c r="G28" s="23">
        <f t="shared" si="15"/>
        <v>-1130</v>
      </c>
      <c r="H28" s="118"/>
      <c r="I28" s="117"/>
      <c r="J28" s="19">
        <f t="shared" si="16"/>
        <v>-1130</v>
      </c>
      <c r="K28" s="106"/>
      <c r="L28" s="107"/>
      <c r="M28" s="26">
        <f t="shared" si="17"/>
        <v>-1130</v>
      </c>
      <c r="N28" s="118"/>
      <c r="O28" s="117"/>
      <c r="P28" s="38">
        <f t="shared" si="18"/>
        <v>-1130</v>
      </c>
      <c r="Q28" s="106"/>
      <c r="R28" s="107"/>
      <c r="S28" s="26">
        <f t="shared" si="19"/>
        <v>-1130</v>
      </c>
      <c r="T28" s="118"/>
      <c r="U28" s="117"/>
      <c r="V28" s="45">
        <f t="shared" si="20"/>
        <v>-1130</v>
      </c>
      <c r="W28" s="143"/>
    </row>
    <row r="29" spans="1:23" ht="15" customHeight="1">
      <c r="A29" s="91"/>
      <c r="B29" s="118"/>
      <c r="C29" s="117"/>
      <c r="D29" s="19">
        <f t="shared" si="14"/>
        <v>-1130</v>
      </c>
      <c r="E29" s="106"/>
      <c r="F29" s="107"/>
      <c r="G29" s="23">
        <f t="shared" si="15"/>
        <v>-1130</v>
      </c>
      <c r="H29" s="118"/>
      <c r="I29" s="117"/>
      <c r="J29" s="19">
        <f t="shared" si="16"/>
        <v>-1130</v>
      </c>
      <c r="K29" s="106"/>
      <c r="L29" s="107"/>
      <c r="M29" s="26">
        <f t="shared" si="17"/>
        <v>-1130</v>
      </c>
      <c r="N29" s="118"/>
      <c r="O29" s="117"/>
      <c r="P29" s="38">
        <f t="shared" si="18"/>
        <v>-1130</v>
      </c>
      <c r="Q29" s="106"/>
      <c r="R29" s="107"/>
      <c r="S29" s="26">
        <f t="shared" si="19"/>
        <v>-1130</v>
      </c>
      <c r="T29" s="118"/>
      <c r="U29" s="117"/>
      <c r="V29" s="45">
        <f t="shared" si="20"/>
        <v>-1130</v>
      </c>
      <c r="W29" s="143"/>
    </row>
    <row r="30" spans="1:23" ht="15" customHeight="1">
      <c r="A30" s="91"/>
      <c r="B30" s="118"/>
      <c r="C30" s="117"/>
      <c r="D30" s="19">
        <f t="shared" si="14"/>
        <v>-1130</v>
      </c>
      <c r="E30" s="112"/>
      <c r="F30" s="107"/>
      <c r="G30" s="23">
        <f t="shared" si="15"/>
        <v>-1130</v>
      </c>
      <c r="H30" s="118"/>
      <c r="I30" s="117"/>
      <c r="J30" s="19">
        <f t="shared" si="16"/>
        <v>-1130</v>
      </c>
      <c r="K30" s="106"/>
      <c r="L30" s="107"/>
      <c r="M30" s="26">
        <f t="shared" si="17"/>
        <v>-1130</v>
      </c>
      <c r="N30" s="118"/>
      <c r="O30" s="117"/>
      <c r="P30" s="38">
        <f t="shared" si="18"/>
        <v>-1130</v>
      </c>
      <c r="Q30" s="106"/>
      <c r="R30" s="107"/>
      <c r="S30" s="26">
        <f t="shared" si="19"/>
        <v>-1130</v>
      </c>
      <c r="T30" s="118"/>
      <c r="U30" s="117"/>
      <c r="V30" s="45">
        <f t="shared" si="20"/>
        <v>-1130</v>
      </c>
      <c r="W30" s="143"/>
    </row>
    <row r="31" spans="1:23" ht="15" customHeight="1">
      <c r="A31" s="91"/>
      <c r="B31" s="118"/>
      <c r="C31" s="117"/>
      <c r="D31" s="19">
        <f t="shared" si="14"/>
        <v>-1130</v>
      </c>
      <c r="E31" s="112"/>
      <c r="F31" s="107"/>
      <c r="G31" s="23">
        <f t="shared" si="15"/>
        <v>-1130</v>
      </c>
      <c r="H31" s="118"/>
      <c r="I31" s="117"/>
      <c r="J31" s="19">
        <f t="shared" si="16"/>
        <v>-1130</v>
      </c>
      <c r="K31" s="106"/>
      <c r="L31" s="107"/>
      <c r="M31" s="26">
        <f t="shared" si="17"/>
        <v>-1130</v>
      </c>
      <c r="N31" s="118"/>
      <c r="O31" s="117"/>
      <c r="P31" s="38">
        <f t="shared" si="18"/>
        <v>-1130</v>
      </c>
      <c r="Q31" s="106"/>
      <c r="R31" s="107"/>
      <c r="S31" s="26">
        <f t="shared" si="19"/>
        <v>-1130</v>
      </c>
      <c r="T31" s="118"/>
      <c r="U31" s="117"/>
      <c r="V31" s="45">
        <f t="shared" si="20"/>
        <v>-1130</v>
      </c>
      <c r="W31" s="143"/>
    </row>
    <row r="32" spans="1:23" ht="15" customHeight="1">
      <c r="A32" s="91"/>
      <c r="B32" s="118"/>
      <c r="C32" s="117"/>
      <c r="D32" s="19">
        <f t="shared" si="14"/>
        <v>-1130</v>
      </c>
      <c r="E32" s="112"/>
      <c r="F32" s="107"/>
      <c r="G32" s="23">
        <f t="shared" si="15"/>
        <v>-1130</v>
      </c>
      <c r="H32" s="118"/>
      <c r="I32" s="117"/>
      <c r="J32" s="19">
        <f t="shared" si="16"/>
        <v>-1130</v>
      </c>
      <c r="K32" s="106"/>
      <c r="L32" s="107"/>
      <c r="M32" s="26">
        <f t="shared" si="17"/>
        <v>-1130</v>
      </c>
      <c r="N32" s="118"/>
      <c r="O32" s="117"/>
      <c r="P32" s="38">
        <f t="shared" si="18"/>
        <v>-1130</v>
      </c>
      <c r="Q32" s="106"/>
      <c r="R32" s="107"/>
      <c r="S32" s="26">
        <f t="shared" si="19"/>
        <v>-1130</v>
      </c>
      <c r="T32" s="118"/>
      <c r="U32" s="117"/>
      <c r="V32" s="45">
        <f t="shared" si="20"/>
        <v>-1130</v>
      </c>
      <c r="W32" s="143"/>
    </row>
    <row r="33" spans="1:23" ht="15" customHeight="1">
      <c r="A33" s="91"/>
      <c r="B33" s="154"/>
      <c r="C33" s="128"/>
      <c r="D33" s="29">
        <f t="shared" si="14"/>
        <v>-1130</v>
      </c>
      <c r="E33" s="122"/>
      <c r="F33" s="123"/>
      <c r="G33" s="31">
        <f t="shared" si="15"/>
        <v>-1130</v>
      </c>
      <c r="H33" s="154"/>
      <c r="I33" s="128"/>
      <c r="J33" s="29">
        <f t="shared" si="16"/>
        <v>-1130</v>
      </c>
      <c r="K33" s="122"/>
      <c r="L33" s="123"/>
      <c r="M33" s="39">
        <f t="shared" si="17"/>
        <v>-1130</v>
      </c>
      <c r="N33" s="154"/>
      <c r="O33" s="128"/>
      <c r="P33" s="40">
        <f t="shared" si="18"/>
        <v>-1130</v>
      </c>
      <c r="Q33" s="122"/>
      <c r="R33" s="123"/>
      <c r="S33" s="39">
        <f t="shared" si="19"/>
        <v>-1130</v>
      </c>
      <c r="T33" s="154"/>
      <c r="U33" s="128"/>
      <c r="V33" s="46">
        <f t="shared" si="20"/>
        <v>-1130</v>
      </c>
      <c r="W33" s="143"/>
    </row>
    <row r="34" spans="1:23" ht="17.25" customHeight="1">
      <c r="A34" s="162"/>
      <c r="B34" s="77" t="str">
        <f ca="1">IFERROR(__xludf.DUMMYFUNCTION("DATE(VALUE(LEFT($B$2,4)),VALUE(MID($B$2,6,2)),VALUE(RIGHT($B$2,2)))
+ (VALUE(REGEXEXTRACT(INDIRECT(""A""&amp;ROW()+1),""\d+""))-1)*7
+ INT((COLUMN()-COLUMN($B34))/3)
"),"#VALUE!")</f>
        <v>#VALUE!</v>
      </c>
      <c r="C34" s="81"/>
      <c r="D34" s="82"/>
      <c r="E34" s="77" t="str">
        <f ca="1">IFERROR(__xludf.DUMMYFUNCTION("DATE(VALUE(LEFT($B$2,4)),VALUE(MID($B$2,6,2)),VALUE(RIGHT($B$2,2)))
+ (VALUE(REGEXEXTRACT(INDIRECT(""A""&amp;ROW()+1),""\d+""))-1)*7
+ INT((COLUMN()-COLUMN($B34))/3)
"),"#VALUE!")</f>
        <v>#VALUE!</v>
      </c>
      <c r="F34" s="81"/>
      <c r="G34" s="82"/>
      <c r="H34" s="77" t="str">
        <f ca="1">IFERROR(__xludf.DUMMYFUNCTION("DATE(VALUE(LEFT($B$2,4)),VALUE(MID($B$2,6,2)),VALUE(RIGHT($B$2,2)))
+ (VALUE(REGEXEXTRACT(INDIRECT(""A""&amp;ROW()+1),""\d+""))-1)*7
+ INT((COLUMN()-COLUMN($B34))/3)
"),"#VALUE!")</f>
        <v>#VALUE!</v>
      </c>
      <c r="I34" s="81"/>
      <c r="J34" s="82"/>
      <c r="K34" s="77" t="str">
        <f ca="1">IFERROR(__xludf.DUMMYFUNCTION("DATE(VALUE(LEFT($B$2,4)),VALUE(MID($B$2,6,2)),VALUE(RIGHT($B$2,2)))
+ (VALUE(REGEXEXTRACT(INDIRECT(""A""&amp;ROW()+1),""\d+""))-1)*7
+ INT((COLUMN()-COLUMN($B34))/3)
"),"#VALUE!")</f>
        <v>#VALUE!</v>
      </c>
      <c r="L34" s="81"/>
      <c r="M34" s="82"/>
      <c r="N34" s="77" t="str">
        <f ca="1">IFERROR(__xludf.DUMMYFUNCTION("DATE(VALUE(LEFT($B$2,4)),VALUE(MID($B$2,6,2)),VALUE(RIGHT($B$2,2)))
+ (VALUE(REGEXEXTRACT(INDIRECT(""A""&amp;ROW()+1),""\d+""))-1)*7
+ INT((COLUMN()-COLUMN($B34))/3)
"),"#VALUE!")</f>
        <v>#VALUE!</v>
      </c>
      <c r="O34" s="81"/>
      <c r="P34" s="82"/>
      <c r="Q34" s="77" t="str">
        <f ca="1">IFERROR(__xludf.DUMMYFUNCTION("DATE(VALUE(LEFT($B$2,4)),VALUE(MID($B$2,6,2)),VALUE(RIGHT($B$2,2)))
+ (VALUE(REGEXEXTRACT(INDIRECT(""A""&amp;ROW()+1),""\d+""))-1)*7
+ INT((COLUMN()-COLUMN($B34))/3)
"),"#VALUE!")</f>
        <v>#VALUE!</v>
      </c>
      <c r="R34" s="81"/>
      <c r="S34" s="82"/>
      <c r="T34" s="77" t="str">
        <f ca="1">IFERROR(__xludf.DUMMYFUNCTION("DATE(VALUE(LEFT($B$2,4)),VALUE(MID($B$2,6,2)),VALUE(RIGHT($B$2,2)))
+ (VALUE(REGEXEXTRACT(INDIRECT(""A""&amp;ROW()+1),""\d+""))-1)*7
+ INT((COLUMN()-COLUMN($B34))/3)
"),"#VALUE!")</f>
        <v>#VALUE!</v>
      </c>
      <c r="U34" s="81"/>
      <c r="V34" s="82"/>
      <c r="W34" s="143"/>
    </row>
    <row r="35" spans="1:23" ht="15" customHeight="1">
      <c r="A35" s="47" t="s">
        <v>139</v>
      </c>
      <c r="B35" s="34" t="s">
        <v>74</v>
      </c>
      <c r="C35" s="18">
        <v>-75</v>
      </c>
      <c r="D35" s="17">
        <f>V33+C35</f>
        <v>-1205</v>
      </c>
      <c r="E35" s="113"/>
      <c r="F35" s="109"/>
      <c r="G35" s="42">
        <f>D44+F35</f>
        <v>-1295</v>
      </c>
      <c r="H35" s="112"/>
      <c r="I35" s="111"/>
      <c r="J35" s="17">
        <f>G44+I35</f>
        <v>-1295</v>
      </c>
      <c r="K35" s="113"/>
      <c r="L35" s="109"/>
      <c r="M35" s="35">
        <f>J44+L35</f>
        <v>-1295</v>
      </c>
      <c r="N35" s="112"/>
      <c r="O35" s="111"/>
      <c r="P35" s="17">
        <f>M44+O35</f>
        <v>-1295</v>
      </c>
      <c r="Q35" s="113"/>
      <c r="R35" s="109"/>
      <c r="S35" s="35">
        <f>P44+R35</f>
        <v>-1295</v>
      </c>
      <c r="T35" s="112"/>
      <c r="U35" s="111"/>
      <c r="V35" s="48">
        <f>S44+U35</f>
        <v>-1295</v>
      </c>
      <c r="W35" s="143"/>
    </row>
    <row r="36" spans="1:23" ht="15" customHeight="1">
      <c r="A36" s="114"/>
      <c r="B36" s="37" t="s">
        <v>76</v>
      </c>
      <c r="C36" s="23">
        <v>-25</v>
      </c>
      <c r="D36" s="26">
        <f t="shared" ref="D36:D44" si="21">D35+C36</f>
        <v>-1230</v>
      </c>
      <c r="E36" s="118"/>
      <c r="F36" s="117"/>
      <c r="G36" s="19">
        <f t="shared" ref="G36:G44" si="22">G35+F36</f>
        <v>-1295</v>
      </c>
      <c r="H36" s="106"/>
      <c r="I36" s="107"/>
      <c r="J36" s="26">
        <f t="shared" ref="J36:J44" si="23">J35+I36</f>
        <v>-1295</v>
      </c>
      <c r="K36" s="118"/>
      <c r="L36" s="117"/>
      <c r="M36" s="38">
        <f t="shared" ref="M36:M44" si="24">M35+L36</f>
        <v>-1295</v>
      </c>
      <c r="N36" s="106"/>
      <c r="O36" s="107"/>
      <c r="P36" s="26">
        <f t="shared" ref="P36:P44" si="25">P35+O36</f>
        <v>-1295</v>
      </c>
      <c r="Q36" s="118"/>
      <c r="R36" s="117"/>
      <c r="S36" s="38">
        <f t="shared" ref="S36:S44" si="26">S35+R36</f>
        <v>-1295</v>
      </c>
      <c r="T36" s="106"/>
      <c r="U36" s="107"/>
      <c r="V36" s="20">
        <f t="shared" ref="V36:V44" si="27">V35+U36</f>
        <v>-1295</v>
      </c>
      <c r="W36" s="143"/>
    </row>
    <row r="37" spans="1:23" ht="15" customHeight="1">
      <c r="A37" s="114"/>
      <c r="B37" s="37" t="s">
        <v>79</v>
      </c>
      <c r="C37" s="23">
        <v>-65</v>
      </c>
      <c r="D37" s="26">
        <f t="shared" si="21"/>
        <v>-1295</v>
      </c>
      <c r="E37" s="118"/>
      <c r="F37" s="117"/>
      <c r="G37" s="19">
        <f t="shared" si="22"/>
        <v>-1295</v>
      </c>
      <c r="H37" s="106"/>
      <c r="I37" s="107"/>
      <c r="J37" s="26">
        <f t="shared" si="23"/>
        <v>-1295</v>
      </c>
      <c r="K37" s="117"/>
      <c r="L37" s="117"/>
      <c r="M37" s="38">
        <f t="shared" si="24"/>
        <v>-1295</v>
      </c>
      <c r="N37" s="106"/>
      <c r="O37" s="107"/>
      <c r="P37" s="26">
        <f t="shared" si="25"/>
        <v>-1295</v>
      </c>
      <c r="Q37" s="118"/>
      <c r="R37" s="117"/>
      <c r="S37" s="38">
        <f t="shared" si="26"/>
        <v>-1295</v>
      </c>
      <c r="T37" s="106"/>
      <c r="U37" s="107"/>
      <c r="V37" s="20">
        <f t="shared" si="27"/>
        <v>-1295</v>
      </c>
      <c r="W37" s="143"/>
    </row>
    <row r="38" spans="1:23" ht="15" customHeight="1">
      <c r="A38" s="114"/>
      <c r="B38" s="106"/>
      <c r="C38" s="107"/>
      <c r="D38" s="26">
        <f t="shared" si="21"/>
        <v>-1295</v>
      </c>
      <c r="E38" s="118"/>
      <c r="F38" s="117"/>
      <c r="G38" s="19">
        <f t="shared" si="22"/>
        <v>-1295</v>
      </c>
      <c r="H38" s="106"/>
      <c r="I38" s="107"/>
      <c r="J38" s="26">
        <f t="shared" si="23"/>
        <v>-1295</v>
      </c>
      <c r="K38" s="117"/>
      <c r="L38" s="117"/>
      <c r="M38" s="38">
        <f t="shared" si="24"/>
        <v>-1295</v>
      </c>
      <c r="N38" s="106"/>
      <c r="O38" s="107"/>
      <c r="P38" s="26">
        <f t="shared" si="25"/>
        <v>-1295</v>
      </c>
      <c r="Q38" s="118"/>
      <c r="R38" s="117"/>
      <c r="S38" s="38">
        <f t="shared" si="26"/>
        <v>-1295</v>
      </c>
      <c r="T38" s="106"/>
      <c r="U38" s="107"/>
      <c r="V38" s="20">
        <f t="shared" si="27"/>
        <v>-1295</v>
      </c>
      <c r="W38" s="143"/>
    </row>
    <row r="39" spans="1:23" ht="15" customHeight="1">
      <c r="A39" s="114"/>
      <c r="B39" s="106"/>
      <c r="C39" s="107"/>
      <c r="D39" s="26">
        <f t="shared" si="21"/>
        <v>-1295</v>
      </c>
      <c r="E39" s="118"/>
      <c r="F39" s="117"/>
      <c r="G39" s="19">
        <f t="shared" si="22"/>
        <v>-1295</v>
      </c>
      <c r="H39" s="106"/>
      <c r="I39" s="107"/>
      <c r="J39" s="26">
        <f t="shared" si="23"/>
        <v>-1295</v>
      </c>
      <c r="K39" s="117"/>
      <c r="L39" s="117"/>
      <c r="M39" s="38">
        <f t="shared" si="24"/>
        <v>-1295</v>
      </c>
      <c r="N39" s="106"/>
      <c r="O39" s="107"/>
      <c r="P39" s="26">
        <f t="shared" si="25"/>
        <v>-1295</v>
      </c>
      <c r="Q39" s="118"/>
      <c r="R39" s="117"/>
      <c r="S39" s="38">
        <f t="shared" si="26"/>
        <v>-1295</v>
      </c>
      <c r="T39" s="106"/>
      <c r="U39" s="107"/>
      <c r="V39" s="20">
        <f t="shared" si="27"/>
        <v>-1295</v>
      </c>
      <c r="W39" s="143"/>
    </row>
    <row r="40" spans="1:23" ht="15" customHeight="1">
      <c r="A40" s="114"/>
      <c r="B40" s="106"/>
      <c r="C40" s="107"/>
      <c r="D40" s="26">
        <f t="shared" si="21"/>
        <v>-1295</v>
      </c>
      <c r="E40" s="118"/>
      <c r="F40" s="117"/>
      <c r="G40" s="19">
        <f t="shared" si="22"/>
        <v>-1295</v>
      </c>
      <c r="H40" s="116"/>
      <c r="I40" s="107"/>
      <c r="J40" s="26">
        <f t="shared" si="23"/>
        <v>-1295</v>
      </c>
      <c r="K40" s="117"/>
      <c r="L40" s="117"/>
      <c r="M40" s="38">
        <f t="shared" si="24"/>
        <v>-1295</v>
      </c>
      <c r="N40" s="106"/>
      <c r="O40" s="107"/>
      <c r="P40" s="26">
        <f t="shared" si="25"/>
        <v>-1295</v>
      </c>
      <c r="Q40" s="118"/>
      <c r="R40" s="117"/>
      <c r="S40" s="38">
        <f t="shared" si="26"/>
        <v>-1295</v>
      </c>
      <c r="T40" s="106"/>
      <c r="U40" s="107"/>
      <c r="V40" s="20">
        <f t="shared" si="27"/>
        <v>-1295</v>
      </c>
      <c r="W40" s="143"/>
    </row>
    <row r="41" spans="1:23" ht="15" customHeight="1">
      <c r="A41" s="114"/>
      <c r="B41" s="106"/>
      <c r="C41" s="107"/>
      <c r="D41" s="26">
        <f t="shared" si="21"/>
        <v>-1295</v>
      </c>
      <c r="E41" s="118"/>
      <c r="F41" s="117"/>
      <c r="G41" s="19">
        <f t="shared" si="22"/>
        <v>-1295</v>
      </c>
      <c r="H41" s="106"/>
      <c r="I41" s="107"/>
      <c r="J41" s="26">
        <f t="shared" si="23"/>
        <v>-1295</v>
      </c>
      <c r="K41" s="117"/>
      <c r="L41" s="117"/>
      <c r="M41" s="38">
        <f t="shared" si="24"/>
        <v>-1295</v>
      </c>
      <c r="N41" s="106"/>
      <c r="O41" s="107"/>
      <c r="P41" s="26">
        <f t="shared" si="25"/>
        <v>-1295</v>
      </c>
      <c r="Q41" s="118"/>
      <c r="R41" s="117"/>
      <c r="S41" s="38">
        <f t="shared" si="26"/>
        <v>-1295</v>
      </c>
      <c r="T41" s="106"/>
      <c r="U41" s="107"/>
      <c r="V41" s="20">
        <f t="shared" si="27"/>
        <v>-1295</v>
      </c>
      <c r="W41" s="143"/>
    </row>
    <row r="42" spans="1:23" ht="15" customHeight="1">
      <c r="A42" s="114"/>
      <c r="B42" s="106"/>
      <c r="C42" s="107"/>
      <c r="D42" s="26">
        <f t="shared" si="21"/>
        <v>-1295</v>
      </c>
      <c r="E42" s="118"/>
      <c r="F42" s="117"/>
      <c r="G42" s="19">
        <f t="shared" si="22"/>
        <v>-1295</v>
      </c>
      <c r="H42" s="106"/>
      <c r="I42" s="107"/>
      <c r="J42" s="26">
        <f t="shared" si="23"/>
        <v>-1295</v>
      </c>
      <c r="K42" s="117"/>
      <c r="L42" s="117"/>
      <c r="M42" s="38">
        <f t="shared" si="24"/>
        <v>-1295</v>
      </c>
      <c r="N42" s="106"/>
      <c r="O42" s="107"/>
      <c r="P42" s="26">
        <f t="shared" si="25"/>
        <v>-1295</v>
      </c>
      <c r="Q42" s="118"/>
      <c r="R42" s="117"/>
      <c r="S42" s="38">
        <f t="shared" si="26"/>
        <v>-1295</v>
      </c>
      <c r="T42" s="106"/>
      <c r="U42" s="107"/>
      <c r="V42" s="20">
        <f t="shared" si="27"/>
        <v>-1295</v>
      </c>
      <c r="W42" s="143"/>
    </row>
    <row r="43" spans="1:23" ht="15" customHeight="1">
      <c r="A43" s="114"/>
      <c r="B43" s="106"/>
      <c r="C43" s="107"/>
      <c r="D43" s="26">
        <f t="shared" si="21"/>
        <v>-1295</v>
      </c>
      <c r="E43" s="118"/>
      <c r="F43" s="117"/>
      <c r="G43" s="19">
        <f t="shared" si="22"/>
        <v>-1295</v>
      </c>
      <c r="H43" s="106"/>
      <c r="I43" s="107"/>
      <c r="J43" s="26">
        <f t="shared" si="23"/>
        <v>-1295</v>
      </c>
      <c r="K43" s="117"/>
      <c r="L43" s="117"/>
      <c r="M43" s="38">
        <f t="shared" si="24"/>
        <v>-1295</v>
      </c>
      <c r="N43" s="106"/>
      <c r="O43" s="107"/>
      <c r="P43" s="26">
        <f t="shared" si="25"/>
        <v>-1295</v>
      </c>
      <c r="Q43" s="118"/>
      <c r="R43" s="117"/>
      <c r="S43" s="38">
        <f t="shared" si="26"/>
        <v>-1295</v>
      </c>
      <c r="T43" s="106"/>
      <c r="U43" s="107"/>
      <c r="V43" s="20">
        <f t="shared" si="27"/>
        <v>-1295</v>
      </c>
      <c r="W43" s="143"/>
    </row>
    <row r="44" spans="1:23" ht="15" customHeight="1">
      <c r="A44" s="114"/>
      <c r="B44" s="122"/>
      <c r="C44" s="123"/>
      <c r="D44" s="39">
        <f t="shared" si="21"/>
        <v>-1295</v>
      </c>
      <c r="E44" s="154"/>
      <c r="F44" s="128"/>
      <c r="G44" s="29">
        <f t="shared" si="22"/>
        <v>-1295</v>
      </c>
      <c r="H44" s="122"/>
      <c r="I44" s="123"/>
      <c r="J44" s="39">
        <f t="shared" si="23"/>
        <v>-1295</v>
      </c>
      <c r="K44" s="154"/>
      <c r="L44" s="128"/>
      <c r="M44" s="40">
        <f t="shared" si="24"/>
        <v>-1295</v>
      </c>
      <c r="N44" s="122"/>
      <c r="O44" s="123"/>
      <c r="P44" s="39">
        <f t="shared" si="25"/>
        <v>-1295</v>
      </c>
      <c r="Q44" s="154"/>
      <c r="R44" s="128"/>
      <c r="S44" s="40">
        <f t="shared" si="26"/>
        <v>-1295</v>
      </c>
      <c r="T44" s="122"/>
      <c r="U44" s="123"/>
      <c r="V44" s="49">
        <f t="shared" si="27"/>
        <v>-1295</v>
      </c>
      <c r="W44" s="143"/>
    </row>
    <row r="45" spans="1:23" ht="17.25" customHeight="1">
      <c r="A45" s="87"/>
      <c r="B45" s="77" t="str">
        <f ca="1">IFERROR(__xludf.DUMMYFUNCTION("DATE(VALUE(LEFT($B$2,4)),VALUE(MID($B$2,6,2)),VALUE(RIGHT($B$2,2)))
+ (VALUE(REGEXEXTRACT(INDIRECT(""A""&amp;ROW()+1),""\d+""))-1)*7
+ INT((COLUMN()-COLUMN($B45))/3)
"),"#VALUE!")</f>
        <v>#VALUE!</v>
      </c>
      <c r="C45" s="81"/>
      <c r="D45" s="82"/>
      <c r="E45" s="77" t="str">
        <f ca="1">IFERROR(__xludf.DUMMYFUNCTION("DATE(VALUE(LEFT($B$2,4)),VALUE(MID($B$2,6,2)),VALUE(RIGHT($B$2,2)))
+ (VALUE(REGEXEXTRACT(INDIRECT(""A""&amp;ROW()+1),""\d+""))-1)*7
+ INT((COLUMN()-COLUMN($B45))/3)
"),"#VALUE!")</f>
        <v>#VALUE!</v>
      </c>
      <c r="F45" s="81"/>
      <c r="G45" s="82"/>
      <c r="H45" s="77" t="str">
        <f ca="1">IFERROR(__xludf.DUMMYFUNCTION("DATE(VALUE(LEFT($B$2,4)),VALUE(MID($B$2,6,2)),VALUE(RIGHT($B$2,2)))
+ (VALUE(REGEXEXTRACT(INDIRECT(""A""&amp;ROW()+1),""\d+""))-1)*7
+ INT((COLUMN()-COLUMN($B45))/3)
"),"#VALUE!")</f>
        <v>#VALUE!</v>
      </c>
      <c r="I45" s="81"/>
      <c r="J45" s="82"/>
      <c r="K45" s="77" t="str">
        <f ca="1">IFERROR(__xludf.DUMMYFUNCTION("DATE(VALUE(LEFT($B$2,4)),VALUE(MID($B$2,6,2)),VALUE(RIGHT($B$2,2)))
+ (VALUE(REGEXEXTRACT(INDIRECT(""A""&amp;ROW()+1),""\d+""))-1)*7
+ INT((COLUMN()-COLUMN($B45))/3)
"),"#VALUE!")</f>
        <v>#VALUE!</v>
      </c>
      <c r="L45" s="81"/>
      <c r="M45" s="82"/>
      <c r="N45" s="77" t="str">
        <f ca="1">IFERROR(__xludf.DUMMYFUNCTION("DATE(VALUE(LEFT($B$2,4)),VALUE(MID($B$2,6,2)),VALUE(RIGHT($B$2,2)))
+ (VALUE(REGEXEXTRACT(INDIRECT(""A""&amp;ROW()+1),""\d+""))-1)*7
+ INT((COLUMN()-COLUMN($B45))/3)
"),"#VALUE!")</f>
        <v>#VALUE!</v>
      </c>
      <c r="O45" s="81"/>
      <c r="P45" s="82"/>
      <c r="Q45" s="77" t="str">
        <f ca="1">IFERROR(__xludf.DUMMYFUNCTION("DATE(VALUE(LEFT($B$2,4)),VALUE(MID($B$2,6,2)),VALUE(RIGHT($B$2,2)))
+ (VALUE(REGEXEXTRACT(INDIRECT(""A""&amp;ROW()+1),""\d+""))-1)*7
+ INT((COLUMN()-COLUMN($B45))/3)
"),"#VALUE!")</f>
        <v>#VALUE!</v>
      </c>
      <c r="R45" s="81"/>
      <c r="S45" s="82"/>
      <c r="T45" s="77" t="str">
        <f ca="1">IFERROR(__xludf.DUMMYFUNCTION("DATE(VALUE(LEFT($B$2,4)),VALUE(MID($B$2,6,2)),VALUE(RIGHT($B$2,2)))
+ (VALUE(REGEXEXTRACT(INDIRECT(""A""&amp;ROW()+1),""\d+""))-1)*7
+ INT((COLUMN()-COLUMN($B45))/3)
"),"#VALUE!")</f>
        <v>#VALUE!</v>
      </c>
      <c r="U45" s="81"/>
      <c r="V45" s="82"/>
      <c r="W45" s="41" t="s">
        <v>20</v>
      </c>
    </row>
    <row r="46" spans="1:23" ht="15" customHeight="1">
      <c r="A46" s="47" t="s">
        <v>140</v>
      </c>
      <c r="B46" s="35" t="s">
        <v>74</v>
      </c>
      <c r="C46" s="35">
        <v>-75</v>
      </c>
      <c r="D46" s="42">
        <f>V44+C46</f>
        <v>-1370</v>
      </c>
      <c r="E46" s="112"/>
      <c r="F46" s="168"/>
      <c r="G46" s="18">
        <f>D56+F46</f>
        <v>-1460</v>
      </c>
      <c r="H46" s="113"/>
      <c r="I46" s="132"/>
      <c r="J46" s="42">
        <f>G56+I46</f>
        <v>-1460</v>
      </c>
      <c r="K46" s="112"/>
      <c r="L46" s="111"/>
      <c r="M46" s="48">
        <f>J56+L46</f>
        <v>-1460</v>
      </c>
      <c r="N46" s="149"/>
      <c r="O46" s="109"/>
      <c r="P46" s="35">
        <f>M56+O46</f>
        <v>-1460</v>
      </c>
      <c r="Q46" s="112"/>
      <c r="R46" s="111"/>
      <c r="S46" s="18">
        <f>P56+R46</f>
        <v>-1460</v>
      </c>
      <c r="T46" s="113"/>
      <c r="U46" s="109"/>
      <c r="V46" s="50">
        <f>S56+U46</f>
        <v>-1460</v>
      </c>
      <c r="W46" s="169"/>
    </row>
    <row r="47" spans="1:23" ht="15" customHeight="1">
      <c r="A47" s="114"/>
      <c r="B47" s="38" t="s">
        <v>76</v>
      </c>
      <c r="C47" s="38">
        <v>-25</v>
      </c>
      <c r="D47" s="19">
        <f t="shared" ref="D47:D56" si="28">D46+C47</f>
        <v>-1395</v>
      </c>
      <c r="E47" s="106"/>
      <c r="F47" s="170"/>
      <c r="G47" s="26">
        <f t="shared" ref="G47:G56" si="29">G46+F47</f>
        <v>-1460</v>
      </c>
      <c r="H47" s="118"/>
      <c r="I47" s="133"/>
      <c r="J47" s="19">
        <f t="shared" ref="J47:J56" si="30">J46+I47</f>
        <v>-1460</v>
      </c>
      <c r="K47" s="106"/>
      <c r="L47" s="107"/>
      <c r="M47" s="26">
        <f t="shared" ref="M47:M56" si="31">M46+L47</f>
        <v>-1460</v>
      </c>
      <c r="N47" s="117"/>
      <c r="O47" s="117"/>
      <c r="P47" s="38">
        <f t="shared" ref="P47:P56" si="32">P46+O47</f>
        <v>-1460</v>
      </c>
      <c r="Q47" s="106"/>
      <c r="R47" s="107"/>
      <c r="S47" s="26">
        <f t="shared" ref="S47:S56" si="33">S46+R47</f>
        <v>-1460</v>
      </c>
      <c r="T47" s="136"/>
      <c r="U47" s="136"/>
      <c r="V47" s="45">
        <f t="shared" ref="V47:V56" si="34">V46+U47</f>
        <v>-1460</v>
      </c>
      <c r="W47" s="143"/>
    </row>
    <row r="48" spans="1:23" ht="15" customHeight="1">
      <c r="A48" s="114"/>
      <c r="B48" s="38" t="s">
        <v>90</v>
      </c>
      <c r="C48" s="38">
        <v>-65</v>
      </c>
      <c r="D48" s="19">
        <f t="shared" si="28"/>
        <v>-1460</v>
      </c>
      <c r="E48" s="106"/>
      <c r="F48" s="170"/>
      <c r="G48" s="26">
        <f t="shared" si="29"/>
        <v>-1460</v>
      </c>
      <c r="H48" s="118"/>
      <c r="I48" s="133"/>
      <c r="J48" s="19">
        <f t="shared" si="30"/>
        <v>-1460</v>
      </c>
      <c r="K48" s="106"/>
      <c r="L48" s="107"/>
      <c r="M48" s="26">
        <f t="shared" si="31"/>
        <v>-1460</v>
      </c>
      <c r="N48" s="117"/>
      <c r="O48" s="117"/>
      <c r="P48" s="38">
        <f t="shared" si="32"/>
        <v>-1460</v>
      </c>
      <c r="Q48" s="106"/>
      <c r="R48" s="107"/>
      <c r="S48" s="26">
        <f t="shared" si="33"/>
        <v>-1460</v>
      </c>
      <c r="T48" s="136"/>
      <c r="U48" s="136"/>
      <c r="V48" s="45">
        <f t="shared" si="34"/>
        <v>-1460</v>
      </c>
      <c r="W48" s="143"/>
    </row>
    <row r="49" spans="1:23" ht="15" customHeight="1">
      <c r="A49" s="114"/>
      <c r="B49" s="117"/>
      <c r="C49" s="117"/>
      <c r="D49" s="19">
        <f t="shared" si="28"/>
        <v>-1460</v>
      </c>
      <c r="E49" s="106"/>
      <c r="F49" s="170"/>
      <c r="G49" s="26">
        <f t="shared" si="29"/>
        <v>-1460</v>
      </c>
      <c r="H49" s="118"/>
      <c r="I49" s="133"/>
      <c r="J49" s="19">
        <f t="shared" si="30"/>
        <v>-1460</v>
      </c>
      <c r="K49" s="106"/>
      <c r="L49" s="107"/>
      <c r="M49" s="26">
        <f t="shared" si="31"/>
        <v>-1460</v>
      </c>
      <c r="N49" s="117"/>
      <c r="O49" s="117"/>
      <c r="P49" s="19">
        <f t="shared" si="32"/>
        <v>-1460</v>
      </c>
      <c r="Q49" s="106"/>
      <c r="R49" s="107"/>
      <c r="S49" s="26">
        <f t="shared" si="33"/>
        <v>-1460</v>
      </c>
      <c r="T49" s="136"/>
      <c r="U49" s="136"/>
      <c r="V49" s="45">
        <f t="shared" si="34"/>
        <v>-1460</v>
      </c>
      <c r="W49" s="143"/>
    </row>
    <row r="50" spans="1:23" ht="15" customHeight="1">
      <c r="A50" s="114"/>
      <c r="B50" s="117"/>
      <c r="C50" s="117"/>
      <c r="D50" s="19">
        <f t="shared" si="28"/>
        <v>-1460</v>
      </c>
      <c r="E50" s="106"/>
      <c r="F50" s="170"/>
      <c r="G50" s="26">
        <f t="shared" si="29"/>
        <v>-1460</v>
      </c>
      <c r="H50" s="118"/>
      <c r="I50" s="133"/>
      <c r="J50" s="19">
        <f t="shared" si="30"/>
        <v>-1460</v>
      </c>
      <c r="K50" s="106"/>
      <c r="L50" s="107"/>
      <c r="M50" s="26">
        <f t="shared" si="31"/>
        <v>-1460</v>
      </c>
      <c r="N50" s="117"/>
      <c r="O50" s="117"/>
      <c r="P50" s="19">
        <f t="shared" si="32"/>
        <v>-1460</v>
      </c>
      <c r="Q50" s="106"/>
      <c r="R50" s="107"/>
      <c r="S50" s="26">
        <f t="shared" si="33"/>
        <v>-1460</v>
      </c>
      <c r="T50" s="136"/>
      <c r="U50" s="136"/>
      <c r="V50" s="45">
        <f t="shared" si="34"/>
        <v>-1460</v>
      </c>
      <c r="W50" s="143"/>
    </row>
    <row r="51" spans="1:23" ht="15" customHeight="1">
      <c r="A51" s="114"/>
      <c r="B51" s="118"/>
      <c r="C51" s="117"/>
      <c r="D51" s="19">
        <f t="shared" si="28"/>
        <v>-1460</v>
      </c>
      <c r="E51" s="106"/>
      <c r="F51" s="170"/>
      <c r="G51" s="26">
        <f t="shared" si="29"/>
        <v>-1460</v>
      </c>
      <c r="H51" s="118"/>
      <c r="I51" s="133"/>
      <c r="J51" s="19">
        <f t="shared" si="30"/>
        <v>-1460</v>
      </c>
      <c r="K51" s="106"/>
      <c r="L51" s="107"/>
      <c r="M51" s="26">
        <f t="shared" si="31"/>
        <v>-1460</v>
      </c>
      <c r="N51" s="117"/>
      <c r="O51" s="117"/>
      <c r="P51" s="19">
        <f t="shared" si="32"/>
        <v>-1460</v>
      </c>
      <c r="Q51" s="106"/>
      <c r="R51" s="107"/>
      <c r="S51" s="26">
        <f t="shared" si="33"/>
        <v>-1460</v>
      </c>
      <c r="T51" s="136"/>
      <c r="U51" s="136"/>
      <c r="V51" s="45">
        <f t="shared" si="34"/>
        <v>-1460</v>
      </c>
      <c r="W51" s="143"/>
    </row>
    <row r="52" spans="1:23" ht="15" customHeight="1">
      <c r="A52" s="114"/>
      <c r="B52" s="117"/>
      <c r="C52" s="117"/>
      <c r="D52" s="19">
        <f t="shared" si="28"/>
        <v>-1460</v>
      </c>
      <c r="E52" s="106"/>
      <c r="F52" s="170"/>
      <c r="G52" s="26">
        <f t="shared" si="29"/>
        <v>-1460</v>
      </c>
      <c r="H52" s="118"/>
      <c r="I52" s="133"/>
      <c r="J52" s="19">
        <f t="shared" si="30"/>
        <v>-1460</v>
      </c>
      <c r="K52" s="106"/>
      <c r="L52" s="107"/>
      <c r="M52" s="26">
        <f t="shared" si="31"/>
        <v>-1460</v>
      </c>
      <c r="N52" s="117"/>
      <c r="O52" s="117"/>
      <c r="P52" s="38">
        <f t="shared" si="32"/>
        <v>-1460</v>
      </c>
      <c r="Q52" s="106"/>
      <c r="R52" s="107"/>
      <c r="S52" s="26">
        <f t="shared" si="33"/>
        <v>-1460</v>
      </c>
      <c r="T52" s="136"/>
      <c r="U52" s="136"/>
      <c r="V52" s="45">
        <f t="shared" si="34"/>
        <v>-1460</v>
      </c>
      <c r="W52" s="143"/>
    </row>
    <row r="53" spans="1:23" ht="15" customHeight="1">
      <c r="A53" s="114"/>
      <c r="B53" s="117"/>
      <c r="C53" s="117"/>
      <c r="D53" s="19">
        <f t="shared" si="28"/>
        <v>-1460</v>
      </c>
      <c r="E53" s="106"/>
      <c r="F53" s="170"/>
      <c r="G53" s="26">
        <f t="shared" si="29"/>
        <v>-1460</v>
      </c>
      <c r="H53" s="117"/>
      <c r="I53" s="133"/>
      <c r="J53" s="19">
        <f t="shared" si="30"/>
        <v>-1460</v>
      </c>
      <c r="K53" s="106"/>
      <c r="L53" s="107"/>
      <c r="M53" s="26">
        <f t="shared" si="31"/>
        <v>-1460</v>
      </c>
      <c r="N53" s="117"/>
      <c r="O53" s="117"/>
      <c r="P53" s="38">
        <f t="shared" si="32"/>
        <v>-1460</v>
      </c>
      <c r="Q53" s="106"/>
      <c r="R53" s="107"/>
      <c r="S53" s="26">
        <f t="shared" si="33"/>
        <v>-1460</v>
      </c>
      <c r="T53" s="136"/>
      <c r="U53" s="136"/>
      <c r="V53" s="45">
        <f t="shared" si="34"/>
        <v>-1460</v>
      </c>
      <c r="W53" s="143"/>
    </row>
    <row r="54" spans="1:23" ht="15" customHeight="1">
      <c r="A54" s="114"/>
      <c r="B54" s="117"/>
      <c r="C54" s="117"/>
      <c r="D54" s="19">
        <f t="shared" si="28"/>
        <v>-1460</v>
      </c>
      <c r="E54" s="106"/>
      <c r="F54" s="170"/>
      <c r="G54" s="26">
        <f t="shared" si="29"/>
        <v>-1460</v>
      </c>
      <c r="H54" s="117"/>
      <c r="I54" s="133"/>
      <c r="J54" s="19">
        <f t="shared" si="30"/>
        <v>-1460</v>
      </c>
      <c r="K54" s="106"/>
      <c r="L54" s="107"/>
      <c r="M54" s="26">
        <f t="shared" si="31"/>
        <v>-1460</v>
      </c>
      <c r="N54" s="117"/>
      <c r="O54" s="117"/>
      <c r="P54" s="38">
        <f t="shared" si="32"/>
        <v>-1460</v>
      </c>
      <c r="Q54" s="106"/>
      <c r="R54" s="107"/>
      <c r="S54" s="26">
        <f t="shared" si="33"/>
        <v>-1460</v>
      </c>
      <c r="T54" s="118"/>
      <c r="U54" s="117"/>
      <c r="V54" s="45">
        <f t="shared" si="34"/>
        <v>-1460</v>
      </c>
      <c r="W54" s="143"/>
    </row>
    <row r="55" spans="1:23" ht="15" customHeight="1">
      <c r="A55" s="114"/>
      <c r="B55" s="117"/>
      <c r="C55" s="117"/>
      <c r="D55" s="19">
        <f t="shared" si="28"/>
        <v>-1460</v>
      </c>
      <c r="E55" s="122"/>
      <c r="F55" s="171"/>
      <c r="G55" s="26">
        <f t="shared" si="29"/>
        <v>-1460</v>
      </c>
      <c r="H55" s="117"/>
      <c r="I55" s="133"/>
      <c r="J55" s="19">
        <f t="shared" si="30"/>
        <v>-1460</v>
      </c>
      <c r="K55" s="122"/>
      <c r="L55" s="123"/>
      <c r="M55" s="26">
        <f t="shared" si="31"/>
        <v>-1460</v>
      </c>
      <c r="N55" s="117"/>
      <c r="O55" s="117"/>
      <c r="P55" s="38">
        <f t="shared" si="32"/>
        <v>-1460</v>
      </c>
      <c r="Q55" s="122"/>
      <c r="R55" s="123"/>
      <c r="S55" s="26">
        <f t="shared" si="33"/>
        <v>-1460</v>
      </c>
      <c r="T55" s="136"/>
      <c r="U55" s="136"/>
      <c r="V55" s="45">
        <f t="shared" si="34"/>
        <v>-1460</v>
      </c>
      <c r="W55" s="143"/>
    </row>
    <row r="56" spans="1:23" ht="15" customHeight="1">
      <c r="A56" s="114"/>
      <c r="B56" s="128"/>
      <c r="C56" s="128"/>
      <c r="D56" s="29">
        <f t="shared" si="28"/>
        <v>-1460</v>
      </c>
      <c r="E56" s="122"/>
      <c r="F56" s="171"/>
      <c r="G56" s="39">
        <f t="shared" si="29"/>
        <v>-1460</v>
      </c>
      <c r="H56" s="128"/>
      <c r="I56" s="140"/>
      <c r="J56" s="29">
        <f t="shared" si="30"/>
        <v>-1460</v>
      </c>
      <c r="K56" s="122"/>
      <c r="L56" s="123"/>
      <c r="M56" s="39">
        <f t="shared" si="31"/>
        <v>-1460</v>
      </c>
      <c r="N56" s="128"/>
      <c r="O56" s="128"/>
      <c r="P56" s="40">
        <f t="shared" si="32"/>
        <v>-1460</v>
      </c>
      <c r="Q56" s="122"/>
      <c r="R56" s="123"/>
      <c r="S56" s="39">
        <f t="shared" si="33"/>
        <v>-1460</v>
      </c>
      <c r="T56" s="141"/>
      <c r="U56" s="141"/>
      <c r="V56" s="46">
        <f t="shared" si="34"/>
        <v>-1460</v>
      </c>
      <c r="W56" s="143"/>
    </row>
    <row r="57" spans="1:23" ht="17.25" customHeight="1">
      <c r="A57" s="87"/>
      <c r="B57" s="77" t="str">
        <f ca="1">IFERROR(__xludf.DUMMYFUNCTION("DATE(VALUE(LEFT($B$2,4)),VALUE(MID($B$2,6,2)),VALUE(RIGHT($B$2,2)))
+ (VALUE(REGEXEXTRACT(INDIRECT(""A""&amp;ROW()+1),""\d+""))-1)*7
+ INT((COLUMN()-COLUMN($B57))/3)
"),"#VALUE!")</f>
        <v>#VALUE!</v>
      </c>
      <c r="C57" s="81"/>
      <c r="D57" s="82"/>
      <c r="E57" s="77" t="str">
        <f ca="1">IFERROR(__xludf.DUMMYFUNCTION("DATE(VALUE(LEFT($B$2,4)),VALUE(MID($B$2,6,2)),VALUE(RIGHT($B$2,2)))
+ (VALUE(REGEXEXTRACT(INDIRECT(""A""&amp;ROW()+1),""\d+""))-1)*7
+ INT((COLUMN()-COLUMN($B57))/3)
"),"#VALUE!")</f>
        <v>#VALUE!</v>
      </c>
      <c r="F57" s="81"/>
      <c r="G57" s="82"/>
      <c r="H57" s="77" t="str">
        <f ca="1">IFERROR(__xludf.DUMMYFUNCTION("DATE(VALUE(LEFT($B$2,4)),VALUE(MID($B$2,6,2)),VALUE(RIGHT($B$2,2)))
+ (VALUE(REGEXEXTRACT(INDIRECT(""A""&amp;ROW()+1),""\d+""))-1)*7
+ INT((COLUMN()-COLUMN($B57))/3)
"),"#VALUE!")</f>
        <v>#VALUE!</v>
      </c>
      <c r="I57" s="81"/>
      <c r="J57" s="82"/>
      <c r="K57" s="77" t="str">
        <f ca="1">IFERROR(__xludf.DUMMYFUNCTION("DATE(VALUE(LEFT($B$2,4)),VALUE(MID($B$2,6,2)),VALUE(RIGHT($B$2,2)))
+ (VALUE(REGEXEXTRACT(INDIRECT(""A""&amp;ROW()+1),""\d+""))-1)*7
+ INT((COLUMN()-COLUMN($B57))/3)
"),"#VALUE!")</f>
        <v>#VALUE!</v>
      </c>
      <c r="L57" s="81"/>
      <c r="M57" s="82"/>
      <c r="N57" s="77" t="str">
        <f ca="1">IFERROR(__xludf.DUMMYFUNCTION("DATE(VALUE(LEFT($B$2,4)),VALUE(MID($B$2,6,2)),VALUE(RIGHT($B$2,2)))
+ (VALUE(REGEXEXTRACT(INDIRECT(""A""&amp;ROW()+1),""\d+""))-1)*7
+ INT((COLUMN()-COLUMN($B57))/3)
"),"#VALUE!")</f>
        <v>#VALUE!</v>
      </c>
      <c r="O57" s="81"/>
      <c r="P57" s="82"/>
      <c r="Q57" s="77" t="str">
        <f ca="1">IFERROR(__xludf.DUMMYFUNCTION("DATE(VALUE(LEFT($B$2,4)),VALUE(MID($B$2,6,2)),VALUE(RIGHT($B$2,2)))
+ (VALUE(REGEXEXTRACT(INDIRECT(""A""&amp;ROW()+1),""\d+""))-1)*7
+ INT((COLUMN()-COLUMN($B57))/3)
"),"#VALUE!")</f>
        <v>#VALUE!</v>
      </c>
      <c r="R57" s="81"/>
      <c r="S57" s="82"/>
      <c r="T57" s="77" t="str">
        <f ca="1">IFERROR(__xludf.DUMMYFUNCTION("DATE(VALUE(LEFT($B$2,4)),VALUE(MID($B$2,6,2)),VALUE(RIGHT($B$2,2)))
+ (VALUE(REGEXEXTRACT(INDIRECT(""A""&amp;ROW()+1),""\d+""))-1)*7
+ INT((COLUMN()-COLUMN($B57))/3)
"),"#VALUE!")</f>
        <v>#VALUE!</v>
      </c>
      <c r="U57" s="81"/>
      <c r="V57" s="82"/>
      <c r="W57" s="143"/>
    </row>
    <row r="58" spans="1:23" ht="15" customHeight="1">
      <c r="A58" s="51" t="s">
        <v>141</v>
      </c>
      <c r="B58" s="112"/>
      <c r="C58" s="111"/>
      <c r="D58" s="17">
        <f>V56+C58</f>
        <v>-1460</v>
      </c>
      <c r="E58" s="109"/>
      <c r="F58" s="109"/>
      <c r="G58" s="42">
        <f>D66+F58</f>
        <v>-1460</v>
      </c>
      <c r="H58" s="112"/>
      <c r="I58" s="111"/>
      <c r="J58" s="17">
        <f>G66+I58</f>
        <v>-1460</v>
      </c>
      <c r="K58" s="109"/>
      <c r="L58" s="109"/>
      <c r="M58" s="35">
        <f>J66+L58</f>
        <v>-1460</v>
      </c>
      <c r="N58" s="112"/>
      <c r="O58" s="111"/>
      <c r="P58" s="17">
        <f>M66+O58</f>
        <v>-1460</v>
      </c>
      <c r="Q58" s="109"/>
      <c r="R58" s="109"/>
      <c r="S58" s="35">
        <f>P66+R58</f>
        <v>-1460</v>
      </c>
      <c r="T58" s="112"/>
      <c r="U58" s="111"/>
      <c r="V58" s="48">
        <f>S66+U58</f>
        <v>-1460</v>
      </c>
      <c r="W58" s="143"/>
    </row>
    <row r="59" spans="1:23" ht="15" customHeight="1">
      <c r="A59" s="114"/>
      <c r="B59" s="106"/>
      <c r="C59" s="107"/>
      <c r="D59" s="26">
        <f t="shared" ref="D59:D66" si="35">D58+C59</f>
        <v>-1460</v>
      </c>
      <c r="E59" s="117"/>
      <c r="F59" s="117"/>
      <c r="G59" s="19">
        <f t="shared" ref="G59:G66" si="36">G58+F59</f>
        <v>-1460</v>
      </c>
      <c r="H59" s="106"/>
      <c r="I59" s="107"/>
      <c r="J59" s="26">
        <f t="shared" ref="J59:J66" si="37">J58+I59</f>
        <v>-1460</v>
      </c>
      <c r="K59" s="117"/>
      <c r="L59" s="117"/>
      <c r="M59" s="38">
        <f t="shared" ref="M59:M66" si="38">M58+L59</f>
        <v>-1460</v>
      </c>
      <c r="N59" s="106"/>
      <c r="O59" s="107"/>
      <c r="P59" s="26">
        <f t="shared" ref="P59:P66" si="39">P58+O59</f>
        <v>-1460</v>
      </c>
      <c r="Q59" s="117"/>
      <c r="R59" s="117"/>
      <c r="S59" s="38">
        <f t="shared" ref="S59:S66" si="40">S58+R59</f>
        <v>-1460</v>
      </c>
      <c r="T59" s="106"/>
      <c r="U59" s="107"/>
      <c r="V59" s="20">
        <f t="shared" ref="V59:V66" si="41">V58+U59</f>
        <v>-1460</v>
      </c>
      <c r="W59" s="143"/>
    </row>
    <row r="60" spans="1:23" ht="15" customHeight="1">
      <c r="A60" s="114"/>
      <c r="B60" s="106"/>
      <c r="C60" s="107"/>
      <c r="D60" s="26">
        <f t="shared" si="35"/>
        <v>-1460</v>
      </c>
      <c r="E60" s="117"/>
      <c r="F60" s="117"/>
      <c r="G60" s="19">
        <f t="shared" si="36"/>
        <v>-1460</v>
      </c>
      <c r="H60" s="106"/>
      <c r="I60" s="107"/>
      <c r="J60" s="26">
        <f t="shared" si="37"/>
        <v>-1460</v>
      </c>
      <c r="K60" s="117"/>
      <c r="L60" s="117"/>
      <c r="M60" s="38">
        <f t="shared" si="38"/>
        <v>-1460</v>
      </c>
      <c r="N60" s="106"/>
      <c r="O60" s="107"/>
      <c r="P60" s="26">
        <f t="shared" si="39"/>
        <v>-1460</v>
      </c>
      <c r="Q60" s="117"/>
      <c r="R60" s="117"/>
      <c r="S60" s="38">
        <f t="shared" si="40"/>
        <v>-1460</v>
      </c>
      <c r="T60" s="106"/>
      <c r="U60" s="116"/>
      <c r="V60" s="20">
        <f t="shared" si="41"/>
        <v>-1460</v>
      </c>
      <c r="W60" s="143"/>
    </row>
    <row r="61" spans="1:23" ht="15" customHeight="1">
      <c r="A61" s="114"/>
      <c r="B61" s="106"/>
      <c r="C61" s="107"/>
      <c r="D61" s="26">
        <f t="shared" si="35"/>
        <v>-1460</v>
      </c>
      <c r="E61" s="117"/>
      <c r="F61" s="117"/>
      <c r="G61" s="19">
        <f t="shared" si="36"/>
        <v>-1460</v>
      </c>
      <c r="H61" s="106"/>
      <c r="I61" s="107"/>
      <c r="J61" s="26">
        <f t="shared" si="37"/>
        <v>-1460</v>
      </c>
      <c r="K61" s="117"/>
      <c r="L61" s="117"/>
      <c r="M61" s="38">
        <f t="shared" si="38"/>
        <v>-1460</v>
      </c>
      <c r="N61" s="106"/>
      <c r="O61" s="107"/>
      <c r="P61" s="26">
        <f t="shared" si="39"/>
        <v>-1460</v>
      </c>
      <c r="Q61" s="117"/>
      <c r="R61" s="117"/>
      <c r="S61" s="38">
        <f t="shared" si="40"/>
        <v>-1460</v>
      </c>
      <c r="T61" s="106"/>
      <c r="U61" s="116"/>
      <c r="V61" s="20">
        <f t="shared" si="41"/>
        <v>-1460</v>
      </c>
      <c r="W61" s="143"/>
    </row>
    <row r="62" spans="1:23" ht="15" customHeight="1">
      <c r="A62" s="114"/>
      <c r="B62" s="106"/>
      <c r="C62" s="107"/>
      <c r="D62" s="26">
        <f t="shared" si="35"/>
        <v>-1460</v>
      </c>
      <c r="E62" s="117"/>
      <c r="F62" s="117"/>
      <c r="G62" s="19">
        <f t="shared" si="36"/>
        <v>-1460</v>
      </c>
      <c r="H62" s="106"/>
      <c r="I62" s="107"/>
      <c r="J62" s="26">
        <f t="shared" si="37"/>
        <v>-1460</v>
      </c>
      <c r="K62" s="117"/>
      <c r="L62" s="117"/>
      <c r="M62" s="38">
        <f t="shared" si="38"/>
        <v>-1460</v>
      </c>
      <c r="N62" s="106"/>
      <c r="O62" s="107"/>
      <c r="P62" s="26">
        <f t="shared" si="39"/>
        <v>-1460</v>
      </c>
      <c r="Q62" s="117"/>
      <c r="R62" s="117"/>
      <c r="S62" s="38">
        <f t="shared" si="40"/>
        <v>-1460</v>
      </c>
      <c r="T62" s="106"/>
      <c r="U62" s="116"/>
      <c r="V62" s="20">
        <f t="shared" si="41"/>
        <v>-1460</v>
      </c>
      <c r="W62" s="143"/>
    </row>
    <row r="63" spans="1:23" ht="15" customHeight="1">
      <c r="A63" s="114"/>
      <c r="B63" s="106"/>
      <c r="C63" s="107"/>
      <c r="D63" s="26">
        <f t="shared" si="35"/>
        <v>-1460</v>
      </c>
      <c r="E63" s="117"/>
      <c r="F63" s="117"/>
      <c r="G63" s="19">
        <f t="shared" si="36"/>
        <v>-1460</v>
      </c>
      <c r="H63" s="106"/>
      <c r="I63" s="107"/>
      <c r="J63" s="26">
        <f t="shared" si="37"/>
        <v>-1460</v>
      </c>
      <c r="K63" s="117"/>
      <c r="L63" s="117"/>
      <c r="M63" s="38">
        <f t="shared" si="38"/>
        <v>-1460</v>
      </c>
      <c r="N63" s="106"/>
      <c r="O63" s="107"/>
      <c r="P63" s="26">
        <f t="shared" si="39"/>
        <v>-1460</v>
      </c>
      <c r="Q63" s="117"/>
      <c r="R63" s="117"/>
      <c r="S63" s="38">
        <f t="shared" si="40"/>
        <v>-1460</v>
      </c>
      <c r="T63" s="106"/>
      <c r="U63" s="116"/>
      <c r="V63" s="20">
        <f t="shared" si="41"/>
        <v>-1460</v>
      </c>
      <c r="W63" s="143"/>
    </row>
    <row r="64" spans="1:23" ht="15" customHeight="1">
      <c r="A64" s="114"/>
      <c r="B64" s="106"/>
      <c r="C64" s="107"/>
      <c r="D64" s="26">
        <f t="shared" si="35"/>
        <v>-1460</v>
      </c>
      <c r="E64" s="117"/>
      <c r="F64" s="117"/>
      <c r="G64" s="19">
        <f t="shared" si="36"/>
        <v>-1460</v>
      </c>
      <c r="H64" s="106"/>
      <c r="I64" s="107"/>
      <c r="J64" s="26">
        <f t="shared" si="37"/>
        <v>-1460</v>
      </c>
      <c r="K64" s="117"/>
      <c r="L64" s="117"/>
      <c r="M64" s="38">
        <f t="shared" si="38"/>
        <v>-1460</v>
      </c>
      <c r="N64" s="106"/>
      <c r="O64" s="107"/>
      <c r="P64" s="26">
        <f t="shared" si="39"/>
        <v>-1460</v>
      </c>
      <c r="Q64" s="117"/>
      <c r="R64" s="117"/>
      <c r="S64" s="38">
        <f t="shared" si="40"/>
        <v>-1460</v>
      </c>
      <c r="T64" s="106"/>
      <c r="U64" s="116"/>
      <c r="V64" s="20">
        <f t="shared" si="41"/>
        <v>-1460</v>
      </c>
      <c r="W64" s="143"/>
    </row>
    <row r="65" spans="1:23" ht="15" customHeight="1">
      <c r="A65" s="114"/>
      <c r="B65" s="106"/>
      <c r="C65" s="107"/>
      <c r="D65" s="26">
        <f t="shared" si="35"/>
        <v>-1460</v>
      </c>
      <c r="E65" s="117"/>
      <c r="F65" s="117"/>
      <c r="G65" s="19">
        <f t="shared" si="36"/>
        <v>-1460</v>
      </c>
      <c r="H65" s="106"/>
      <c r="I65" s="107"/>
      <c r="J65" s="26">
        <f t="shared" si="37"/>
        <v>-1460</v>
      </c>
      <c r="K65" s="117"/>
      <c r="L65" s="117"/>
      <c r="M65" s="38">
        <f t="shared" si="38"/>
        <v>-1460</v>
      </c>
      <c r="N65" s="106"/>
      <c r="O65" s="107"/>
      <c r="P65" s="26">
        <f t="shared" si="39"/>
        <v>-1460</v>
      </c>
      <c r="Q65" s="117"/>
      <c r="R65" s="117"/>
      <c r="S65" s="38">
        <f t="shared" si="40"/>
        <v>-1460</v>
      </c>
      <c r="T65" s="106"/>
      <c r="U65" s="116"/>
      <c r="V65" s="20">
        <f t="shared" si="41"/>
        <v>-1460</v>
      </c>
      <c r="W65" s="143"/>
    </row>
    <row r="66" spans="1:23" ht="15" customHeight="1">
      <c r="A66" s="114"/>
      <c r="B66" s="166"/>
      <c r="C66" s="167"/>
      <c r="D66" s="39">
        <f t="shared" si="35"/>
        <v>-1460</v>
      </c>
      <c r="E66" s="128"/>
      <c r="F66" s="128"/>
      <c r="G66" s="29">
        <f t="shared" si="36"/>
        <v>-1460</v>
      </c>
      <c r="H66" s="122"/>
      <c r="I66" s="123"/>
      <c r="J66" s="39">
        <f t="shared" si="37"/>
        <v>-1460</v>
      </c>
      <c r="K66" s="128"/>
      <c r="L66" s="128"/>
      <c r="M66" s="40">
        <f t="shared" si="38"/>
        <v>-1460</v>
      </c>
      <c r="N66" s="122"/>
      <c r="O66" s="123"/>
      <c r="P66" s="39">
        <f t="shared" si="39"/>
        <v>-1460</v>
      </c>
      <c r="Q66" s="128"/>
      <c r="R66" s="128"/>
      <c r="S66" s="40">
        <f t="shared" si="40"/>
        <v>-1460</v>
      </c>
      <c r="T66" s="122"/>
      <c r="U66" s="124"/>
      <c r="V66" s="49">
        <f t="shared" si="41"/>
        <v>-1460</v>
      </c>
      <c r="W66" s="143"/>
    </row>
    <row r="67" spans="1:23" ht="17.25" customHeight="1">
      <c r="A67" s="87"/>
      <c r="B67" s="77" t="str">
        <f ca="1">IFERROR(__xludf.DUMMYFUNCTION("DATE(VALUE(LEFT($B$2,4)),VALUE(MID($B$2,6,2)),VALUE(RIGHT($B$2,2)))
+ (VALUE(REGEXEXTRACT(INDIRECT(""A""&amp;ROW()+1),""\d+""))-1)*7
+ INT((COLUMN()-COLUMN($B67))/3)
"),"#VALUE!")</f>
        <v>#VALUE!</v>
      </c>
      <c r="C67" s="81"/>
      <c r="D67" s="82"/>
      <c r="E67" s="77" t="str">
        <f ca="1">IFERROR(__xludf.DUMMYFUNCTION("DATE(VALUE(LEFT($B$2,4)),VALUE(MID($B$2,6,2)),VALUE(RIGHT($B$2,2)))
+ (VALUE(REGEXEXTRACT(INDIRECT(""A""&amp;ROW()+1),""\d+""))-1)*7
+ INT((COLUMN()-COLUMN($B67))/3)
"),"#VALUE!")</f>
        <v>#VALUE!</v>
      </c>
      <c r="F67" s="81"/>
      <c r="G67" s="82"/>
      <c r="H67" s="77" t="str">
        <f ca="1">IFERROR(__xludf.DUMMYFUNCTION("DATE(VALUE(LEFT($B$2,4)),VALUE(MID($B$2,6,2)),VALUE(RIGHT($B$2,2)))
+ (VALUE(REGEXEXTRACT(INDIRECT(""A""&amp;ROW()+1),""\d+""))-1)*7
+ INT((COLUMN()-COLUMN($B67))/3)
"),"#VALUE!")</f>
        <v>#VALUE!</v>
      </c>
      <c r="I67" s="81"/>
      <c r="J67" s="82"/>
      <c r="K67" s="77" t="str">
        <f ca="1">IFERROR(__xludf.DUMMYFUNCTION("DATE(VALUE(LEFT($B$2,4)),VALUE(MID($B$2,6,2)),VALUE(RIGHT($B$2,2)))
+ (VALUE(REGEXEXTRACT(INDIRECT(""A""&amp;ROW()+1),""\d+""))-1)*7
+ INT((COLUMN()-COLUMN($B67))/3)
"),"#VALUE!")</f>
        <v>#VALUE!</v>
      </c>
      <c r="L67" s="81"/>
      <c r="M67" s="82"/>
      <c r="N67" s="77" t="str">
        <f ca="1">IFERROR(__xludf.DUMMYFUNCTION("DATE(VALUE(LEFT($B$2,4)),VALUE(MID($B$2,6,2)),VALUE(RIGHT($B$2,2)))
+ (VALUE(REGEXEXTRACT(INDIRECT(""A""&amp;ROW()+1),""\d+""))-1)*7
+ INT((COLUMN()-COLUMN($B67))/3)
"),"#VALUE!")</f>
        <v>#VALUE!</v>
      </c>
      <c r="O67" s="81"/>
      <c r="P67" s="82"/>
      <c r="Q67" s="77" t="str">
        <f ca="1">IFERROR(__xludf.DUMMYFUNCTION("DATE(VALUE(LEFT($B$2,4)),VALUE(MID($B$2,6,2)),VALUE(RIGHT($B$2,2)))
+ (VALUE(REGEXEXTRACT(INDIRECT(""A""&amp;ROW()+1),""\d+""))-1)*7
+ INT((COLUMN()-COLUMN($B67))/3)
"),"#VALUE!")</f>
        <v>#VALUE!</v>
      </c>
      <c r="R67" s="81"/>
      <c r="S67" s="82"/>
      <c r="T67" s="77" t="str">
        <f ca="1">IFERROR(__xludf.DUMMYFUNCTION("DATE(VALUE(LEFT($B$2,4)),VALUE(MID($B$2,6,2)),VALUE(RIGHT($B$2,2)))
+ (VALUE(REGEXEXTRACT(INDIRECT(""A""&amp;ROW()+1),""\d+""))-1)*7
+ INT((COLUMN()-COLUMN($B67))/3)
"),"#VALUE!")</f>
        <v>#VALUE!</v>
      </c>
      <c r="U67" s="81"/>
      <c r="V67" s="82"/>
      <c r="W67" s="52" t="s">
        <v>20</v>
      </c>
    </row>
    <row r="68" spans="1:23" ht="17.25" customHeight="1">
      <c r="A68" s="47" t="s">
        <v>142</v>
      </c>
      <c r="B68" s="113"/>
      <c r="C68" s="109"/>
      <c r="D68" s="42">
        <f>V66+C68</f>
        <v>-1460</v>
      </c>
      <c r="E68" s="112"/>
      <c r="F68" s="111"/>
      <c r="G68" s="36">
        <f>D78+F68</f>
        <v>-1460</v>
      </c>
      <c r="H68" s="132"/>
      <c r="I68" s="109"/>
      <c r="J68" s="42">
        <f>G78+I68</f>
        <v>-1460</v>
      </c>
      <c r="K68" s="112"/>
      <c r="L68" s="111"/>
      <c r="M68" s="18">
        <f>J78+L68</f>
        <v>-1460</v>
      </c>
      <c r="N68" s="113"/>
      <c r="O68" s="109"/>
      <c r="P68" s="35">
        <f>M78+O68</f>
        <v>-1460</v>
      </c>
      <c r="Q68" s="112"/>
      <c r="R68" s="111"/>
      <c r="S68" s="18">
        <f>P78+R68</f>
        <v>-1460</v>
      </c>
      <c r="T68" s="113"/>
      <c r="U68" s="109"/>
      <c r="V68" s="50">
        <f>S78+U68</f>
        <v>-1460</v>
      </c>
      <c r="W68" s="172"/>
    </row>
    <row r="69" spans="1:23" ht="15" customHeight="1">
      <c r="A69" s="114"/>
      <c r="B69" s="118"/>
      <c r="C69" s="117"/>
      <c r="D69" s="19">
        <f t="shared" ref="D69:D78" si="42">D68+C69</f>
        <v>-1460</v>
      </c>
      <c r="E69" s="106"/>
      <c r="F69" s="107"/>
      <c r="G69" s="26">
        <f t="shared" ref="G69:G78" si="43">G68+F69</f>
        <v>-1460</v>
      </c>
      <c r="H69" s="133"/>
      <c r="I69" s="117"/>
      <c r="J69" s="19">
        <f t="shared" ref="J69:J78" si="44">J68+I69</f>
        <v>-1460</v>
      </c>
      <c r="K69" s="106"/>
      <c r="L69" s="107"/>
      <c r="M69" s="26">
        <f t="shared" ref="M69:M78" si="45">M68+L69</f>
        <v>-1460</v>
      </c>
      <c r="N69" s="118"/>
      <c r="O69" s="117"/>
      <c r="P69" s="38">
        <f t="shared" ref="P69:P78" si="46">P68+O69</f>
        <v>-1460</v>
      </c>
      <c r="Q69" s="106"/>
      <c r="R69" s="107"/>
      <c r="S69" s="26">
        <f t="shared" ref="S69:S78" si="47">S68+R69</f>
        <v>-1460</v>
      </c>
      <c r="T69" s="117"/>
      <c r="U69" s="117"/>
      <c r="V69" s="45">
        <f t="shared" ref="V69:V78" si="48">V68+U69</f>
        <v>-1460</v>
      </c>
      <c r="W69" s="143"/>
    </row>
    <row r="70" spans="1:23" ht="15" customHeight="1">
      <c r="A70" s="114"/>
      <c r="B70" s="118"/>
      <c r="C70" s="117"/>
      <c r="D70" s="19">
        <f t="shared" si="42"/>
        <v>-1460</v>
      </c>
      <c r="E70" s="106"/>
      <c r="F70" s="107"/>
      <c r="G70" s="26">
        <f t="shared" si="43"/>
        <v>-1460</v>
      </c>
      <c r="H70" s="133"/>
      <c r="I70" s="117"/>
      <c r="J70" s="19">
        <f t="shared" si="44"/>
        <v>-1460</v>
      </c>
      <c r="K70" s="106"/>
      <c r="L70" s="107"/>
      <c r="M70" s="26">
        <f t="shared" si="45"/>
        <v>-1460</v>
      </c>
      <c r="N70" s="117"/>
      <c r="O70" s="117"/>
      <c r="P70" s="38">
        <f t="shared" si="46"/>
        <v>-1460</v>
      </c>
      <c r="Q70" s="106"/>
      <c r="R70" s="107"/>
      <c r="S70" s="26">
        <f t="shared" si="47"/>
        <v>-1460</v>
      </c>
      <c r="T70" s="117"/>
      <c r="U70" s="117"/>
      <c r="V70" s="45">
        <f t="shared" si="48"/>
        <v>-1460</v>
      </c>
      <c r="W70" s="143"/>
    </row>
    <row r="71" spans="1:23" ht="15" customHeight="1">
      <c r="A71" s="114"/>
      <c r="B71" s="118"/>
      <c r="C71" s="117"/>
      <c r="D71" s="19">
        <f t="shared" si="42"/>
        <v>-1460</v>
      </c>
      <c r="E71" s="106"/>
      <c r="F71" s="107"/>
      <c r="G71" s="26">
        <f t="shared" si="43"/>
        <v>-1460</v>
      </c>
      <c r="H71" s="117"/>
      <c r="I71" s="117"/>
      <c r="J71" s="19">
        <f t="shared" si="44"/>
        <v>-1460</v>
      </c>
      <c r="K71" s="106"/>
      <c r="L71" s="107"/>
      <c r="M71" s="26">
        <f t="shared" si="45"/>
        <v>-1460</v>
      </c>
      <c r="N71" s="117"/>
      <c r="O71" s="117"/>
      <c r="P71" s="38">
        <f t="shared" si="46"/>
        <v>-1460</v>
      </c>
      <c r="Q71" s="106"/>
      <c r="R71" s="107"/>
      <c r="S71" s="26">
        <f t="shared" si="47"/>
        <v>-1460</v>
      </c>
      <c r="T71" s="117"/>
      <c r="U71" s="117"/>
      <c r="V71" s="45">
        <f t="shared" si="48"/>
        <v>-1460</v>
      </c>
      <c r="W71" s="143"/>
    </row>
    <row r="72" spans="1:23" ht="15" customHeight="1">
      <c r="A72" s="114"/>
      <c r="B72" s="118"/>
      <c r="C72" s="117"/>
      <c r="D72" s="19">
        <f t="shared" si="42"/>
        <v>-1460</v>
      </c>
      <c r="E72" s="106"/>
      <c r="F72" s="107"/>
      <c r="G72" s="26">
        <f t="shared" si="43"/>
        <v>-1460</v>
      </c>
      <c r="H72" s="117"/>
      <c r="I72" s="117"/>
      <c r="J72" s="19">
        <f t="shared" si="44"/>
        <v>-1460</v>
      </c>
      <c r="K72" s="106"/>
      <c r="L72" s="107"/>
      <c r="M72" s="26">
        <f t="shared" si="45"/>
        <v>-1460</v>
      </c>
      <c r="N72" s="117"/>
      <c r="O72" s="117"/>
      <c r="P72" s="38">
        <f t="shared" si="46"/>
        <v>-1460</v>
      </c>
      <c r="Q72" s="106"/>
      <c r="R72" s="107"/>
      <c r="S72" s="26">
        <f t="shared" si="47"/>
        <v>-1460</v>
      </c>
      <c r="T72" s="136"/>
      <c r="U72" s="136"/>
      <c r="V72" s="45">
        <f t="shared" si="48"/>
        <v>-1460</v>
      </c>
      <c r="W72" s="143"/>
    </row>
    <row r="73" spans="1:23" ht="15" customHeight="1">
      <c r="A73" s="114"/>
      <c r="B73" s="118"/>
      <c r="C73" s="117"/>
      <c r="D73" s="19">
        <f t="shared" si="42"/>
        <v>-1460</v>
      </c>
      <c r="E73" s="106"/>
      <c r="F73" s="107"/>
      <c r="G73" s="26">
        <f t="shared" si="43"/>
        <v>-1460</v>
      </c>
      <c r="H73" s="117"/>
      <c r="I73" s="117"/>
      <c r="J73" s="19">
        <f t="shared" si="44"/>
        <v>-1460</v>
      </c>
      <c r="K73" s="106"/>
      <c r="L73" s="107"/>
      <c r="M73" s="26">
        <f t="shared" si="45"/>
        <v>-1460</v>
      </c>
      <c r="N73" s="117"/>
      <c r="O73" s="117"/>
      <c r="P73" s="38">
        <f t="shared" si="46"/>
        <v>-1460</v>
      </c>
      <c r="Q73" s="106"/>
      <c r="R73" s="107"/>
      <c r="S73" s="26">
        <f t="shared" si="47"/>
        <v>-1460</v>
      </c>
      <c r="T73" s="136"/>
      <c r="U73" s="136"/>
      <c r="V73" s="45">
        <f t="shared" si="48"/>
        <v>-1460</v>
      </c>
      <c r="W73" s="143"/>
    </row>
    <row r="74" spans="1:23" ht="15" customHeight="1">
      <c r="A74" s="114"/>
      <c r="B74" s="117"/>
      <c r="C74" s="117"/>
      <c r="D74" s="19">
        <f t="shared" si="42"/>
        <v>-1460</v>
      </c>
      <c r="E74" s="106"/>
      <c r="F74" s="107"/>
      <c r="G74" s="26">
        <f t="shared" si="43"/>
        <v>-1460</v>
      </c>
      <c r="H74" s="117"/>
      <c r="I74" s="117"/>
      <c r="J74" s="19">
        <f t="shared" si="44"/>
        <v>-1460</v>
      </c>
      <c r="K74" s="106"/>
      <c r="L74" s="107"/>
      <c r="M74" s="26">
        <f t="shared" si="45"/>
        <v>-1460</v>
      </c>
      <c r="N74" s="117"/>
      <c r="O74" s="117"/>
      <c r="P74" s="38">
        <f t="shared" si="46"/>
        <v>-1460</v>
      </c>
      <c r="Q74" s="106"/>
      <c r="R74" s="107"/>
      <c r="S74" s="26">
        <f t="shared" si="47"/>
        <v>-1460</v>
      </c>
      <c r="T74" s="133"/>
      <c r="U74" s="117"/>
      <c r="V74" s="45">
        <f t="shared" si="48"/>
        <v>-1460</v>
      </c>
      <c r="W74" s="143"/>
    </row>
    <row r="75" spans="1:23" ht="15" customHeight="1">
      <c r="A75" s="114"/>
      <c r="B75" s="117"/>
      <c r="C75" s="117"/>
      <c r="D75" s="19">
        <f t="shared" si="42"/>
        <v>-1460</v>
      </c>
      <c r="E75" s="106"/>
      <c r="F75" s="107"/>
      <c r="G75" s="26">
        <f t="shared" si="43"/>
        <v>-1460</v>
      </c>
      <c r="H75" s="117"/>
      <c r="I75" s="117"/>
      <c r="J75" s="19">
        <f t="shared" si="44"/>
        <v>-1460</v>
      </c>
      <c r="K75" s="106"/>
      <c r="L75" s="107"/>
      <c r="M75" s="26">
        <f t="shared" si="45"/>
        <v>-1460</v>
      </c>
      <c r="N75" s="117"/>
      <c r="O75" s="117"/>
      <c r="P75" s="38">
        <f t="shared" si="46"/>
        <v>-1460</v>
      </c>
      <c r="Q75" s="106"/>
      <c r="R75" s="107"/>
      <c r="S75" s="26">
        <f t="shared" si="47"/>
        <v>-1460</v>
      </c>
      <c r="T75" s="133"/>
      <c r="U75" s="117"/>
      <c r="V75" s="45">
        <f t="shared" si="48"/>
        <v>-1460</v>
      </c>
      <c r="W75" s="143"/>
    </row>
    <row r="76" spans="1:23" ht="15" customHeight="1">
      <c r="A76" s="114"/>
      <c r="B76" s="117"/>
      <c r="C76" s="117"/>
      <c r="D76" s="19">
        <f t="shared" si="42"/>
        <v>-1460</v>
      </c>
      <c r="E76" s="106"/>
      <c r="F76" s="107"/>
      <c r="G76" s="26">
        <f t="shared" si="43"/>
        <v>-1460</v>
      </c>
      <c r="H76" s="117"/>
      <c r="I76" s="117"/>
      <c r="J76" s="19">
        <f t="shared" si="44"/>
        <v>-1460</v>
      </c>
      <c r="K76" s="106"/>
      <c r="L76" s="107"/>
      <c r="M76" s="26">
        <f t="shared" si="45"/>
        <v>-1460</v>
      </c>
      <c r="N76" s="117"/>
      <c r="O76" s="117"/>
      <c r="P76" s="38">
        <f t="shared" si="46"/>
        <v>-1460</v>
      </c>
      <c r="Q76" s="106"/>
      <c r="R76" s="107"/>
      <c r="S76" s="26">
        <f t="shared" si="47"/>
        <v>-1460</v>
      </c>
      <c r="T76" s="117"/>
      <c r="U76" s="117"/>
      <c r="V76" s="45">
        <f t="shared" si="48"/>
        <v>-1460</v>
      </c>
      <c r="W76" s="143"/>
    </row>
    <row r="77" spans="1:23" ht="15" customHeight="1">
      <c r="A77" s="114"/>
      <c r="B77" s="117"/>
      <c r="C77" s="117"/>
      <c r="D77" s="19">
        <f t="shared" si="42"/>
        <v>-1460</v>
      </c>
      <c r="E77" s="122"/>
      <c r="F77" s="123"/>
      <c r="G77" s="26">
        <f t="shared" si="43"/>
        <v>-1460</v>
      </c>
      <c r="H77" s="133"/>
      <c r="I77" s="117"/>
      <c r="J77" s="19">
        <f t="shared" si="44"/>
        <v>-1460</v>
      </c>
      <c r="K77" s="122"/>
      <c r="L77" s="123"/>
      <c r="M77" s="26">
        <f t="shared" si="45"/>
        <v>-1460</v>
      </c>
      <c r="N77" s="117"/>
      <c r="O77" s="117"/>
      <c r="P77" s="38">
        <f t="shared" si="46"/>
        <v>-1460</v>
      </c>
      <c r="Q77" s="122"/>
      <c r="R77" s="123"/>
      <c r="S77" s="26">
        <f t="shared" si="47"/>
        <v>-1460</v>
      </c>
      <c r="T77" s="136"/>
      <c r="U77" s="136"/>
      <c r="V77" s="45">
        <f t="shared" si="48"/>
        <v>-1460</v>
      </c>
      <c r="W77" s="143"/>
    </row>
    <row r="78" spans="1:23" ht="15" customHeight="1">
      <c r="A78" s="114"/>
      <c r="B78" s="128"/>
      <c r="C78" s="128"/>
      <c r="D78" s="29">
        <f t="shared" si="42"/>
        <v>-1460</v>
      </c>
      <c r="E78" s="122"/>
      <c r="F78" s="123"/>
      <c r="G78" s="53">
        <f t="shared" si="43"/>
        <v>-1460</v>
      </c>
      <c r="H78" s="140"/>
      <c r="I78" s="128"/>
      <c r="J78" s="29">
        <f t="shared" si="44"/>
        <v>-1460</v>
      </c>
      <c r="K78" s="122"/>
      <c r="L78" s="123"/>
      <c r="M78" s="39">
        <f t="shared" si="45"/>
        <v>-1460</v>
      </c>
      <c r="N78" s="128"/>
      <c r="O78" s="128"/>
      <c r="P78" s="40">
        <f t="shared" si="46"/>
        <v>-1460</v>
      </c>
      <c r="Q78" s="122"/>
      <c r="R78" s="123"/>
      <c r="S78" s="39">
        <f t="shared" si="47"/>
        <v>-1460</v>
      </c>
      <c r="T78" s="141"/>
      <c r="U78" s="141"/>
      <c r="V78" s="46">
        <f t="shared" si="48"/>
        <v>-1460</v>
      </c>
      <c r="W78" s="143"/>
    </row>
    <row r="79" spans="1:23" ht="17.25" customHeight="1">
      <c r="A79" s="87"/>
      <c r="B79" s="77" t="str">
        <f ca="1">IFERROR(__xludf.DUMMYFUNCTION("DATE(VALUE(LEFT($B$2,4)),VALUE(MID($B$2,6,2)),VALUE(RIGHT($B$2,2)))
+ (VALUE(REGEXEXTRACT(INDIRECT(""A""&amp;ROW()+1),""\d+""))-1)*7
+ INT((COLUMN()-COLUMN($B79))/3)
"),"#VALUE!")</f>
        <v>#VALUE!</v>
      </c>
      <c r="C79" s="81"/>
      <c r="D79" s="82"/>
      <c r="E79" s="77" t="str">
        <f ca="1">IFERROR(__xludf.DUMMYFUNCTION("DATE(VALUE(LEFT($B$2,4)),VALUE(MID($B$2,6,2)),VALUE(RIGHT($B$2,2)))
+ (VALUE(REGEXEXTRACT(INDIRECT(""A""&amp;ROW()+1),""\d+""))-1)*7
+ INT((COLUMN()-COLUMN($B79))/3)
"),"#VALUE!")</f>
        <v>#VALUE!</v>
      </c>
      <c r="F79" s="81"/>
      <c r="G79" s="82"/>
      <c r="H79" s="77" t="str">
        <f ca="1">IFERROR(__xludf.DUMMYFUNCTION("DATE(VALUE(LEFT($B$2,4)),VALUE(MID($B$2,6,2)),VALUE(RIGHT($B$2,2)))
+ (VALUE(REGEXEXTRACT(INDIRECT(""A""&amp;ROW()+1),""\d+""))-1)*7
+ INT((COLUMN()-COLUMN($B79))/3)
"),"#VALUE!")</f>
        <v>#VALUE!</v>
      </c>
      <c r="I79" s="81"/>
      <c r="J79" s="82"/>
      <c r="K79" s="77" t="str">
        <f ca="1">IFERROR(__xludf.DUMMYFUNCTION("DATE(VALUE(LEFT($B$2,4)),VALUE(MID($B$2,6,2)),VALUE(RIGHT($B$2,2)))
+ (VALUE(REGEXEXTRACT(INDIRECT(""A""&amp;ROW()+1),""\d+""))-1)*7
+ INT((COLUMN()-COLUMN($B79))/3)
"),"#VALUE!")</f>
        <v>#VALUE!</v>
      </c>
      <c r="L79" s="81"/>
      <c r="M79" s="82"/>
      <c r="N79" s="77" t="str">
        <f ca="1">IFERROR(__xludf.DUMMYFUNCTION("DATE(VALUE(LEFT($B$2,4)),VALUE(MID($B$2,6,2)),VALUE(RIGHT($B$2,2)))
+ (VALUE(REGEXEXTRACT(INDIRECT(""A""&amp;ROW()+1),""\d+""))-1)*7
+ INT((COLUMN()-COLUMN($B79))/3)
"),"#VALUE!")</f>
        <v>#VALUE!</v>
      </c>
      <c r="O79" s="81"/>
      <c r="P79" s="82"/>
      <c r="Q79" s="77" t="str">
        <f ca="1">IFERROR(__xludf.DUMMYFUNCTION("DATE(VALUE(LEFT($B$2,4)),VALUE(MID($B$2,6,2)),VALUE(RIGHT($B$2,2)))
+ (VALUE(REGEXEXTRACT(INDIRECT(""A""&amp;ROW()+1),""\d+""))-1)*7
+ INT((COLUMN()-COLUMN($B79))/3)
"),"#VALUE!")</f>
        <v>#VALUE!</v>
      </c>
      <c r="R79" s="81"/>
      <c r="S79" s="82"/>
      <c r="T79" s="77" t="str">
        <f ca="1">IFERROR(__xludf.DUMMYFUNCTION("DATE(VALUE(LEFT($B$2,4)),VALUE(MID($B$2,6,2)),VALUE(RIGHT($B$2,2)))
+ (VALUE(REGEXEXTRACT(INDIRECT(""A""&amp;ROW()+1),""\d+""))-1)*7
+ INT((COLUMN()-COLUMN($B79))/3)
"),"#VALUE!")</f>
        <v>#VALUE!</v>
      </c>
      <c r="U79" s="81"/>
      <c r="V79" s="82"/>
      <c r="W79" s="143"/>
    </row>
    <row r="80" spans="1:23" ht="15" customHeight="1">
      <c r="A80" s="51" t="s">
        <v>143</v>
      </c>
      <c r="B80" s="112"/>
      <c r="C80" s="111"/>
      <c r="D80" s="17">
        <f>V78+C80</f>
        <v>-1460</v>
      </c>
      <c r="E80" s="109"/>
      <c r="F80" s="109"/>
      <c r="G80" s="42">
        <f>D90+F80</f>
        <v>-1460</v>
      </c>
      <c r="H80" s="112"/>
      <c r="I80" s="111"/>
      <c r="J80" s="17">
        <f>G90+I80</f>
        <v>-1460</v>
      </c>
      <c r="K80" s="173"/>
      <c r="L80" s="109"/>
      <c r="M80" s="35">
        <f>J90+L80</f>
        <v>-1460</v>
      </c>
      <c r="N80" s="112"/>
      <c r="O80" s="111"/>
      <c r="P80" s="17">
        <f>M90+O80</f>
        <v>-1460</v>
      </c>
      <c r="Q80" s="109"/>
      <c r="R80" s="109"/>
      <c r="S80" s="35">
        <f>P90+R80</f>
        <v>-1460</v>
      </c>
      <c r="T80" s="112"/>
      <c r="U80" s="111"/>
      <c r="V80" s="48">
        <f>S90+U80</f>
        <v>-1460</v>
      </c>
      <c r="W80" s="143"/>
    </row>
    <row r="81" spans="1:26" ht="15" customHeight="1">
      <c r="A81" s="114"/>
      <c r="B81" s="106"/>
      <c r="C81" s="107"/>
      <c r="D81" s="26">
        <f t="shared" ref="D81:D90" si="49">D80+C81</f>
        <v>-1460</v>
      </c>
      <c r="E81" s="117"/>
      <c r="F81" s="117"/>
      <c r="G81" s="19">
        <f t="shared" ref="G81:G90" si="50">G80+F81</f>
        <v>-1460</v>
      </c>
      <c r="H81" s="106"/>
      <c r="I81" s="107"/>
      <c r="J81" s="26">
        <f t="shared" ref="J81:J90" si="51">J80+I81</f>
        <v>-1460</v>
      </c>
      <c r="K81" s="136"/>
      <c r="L81" s="136"/>
      <c r="M81" s="38">
        <f t="shared" ref="M81:M90" si="52">M80+L81</f>
        <v>-1460</v>
      </c>
      <c r="N81" s="106"/>
      <c r="O81" s="107"/>
      <c r="P81" s="26">
        <f t="shared" ref="P81:P90" si="53">P80+O81</f>
        <v>-1460</v>
      </c>
      <c r="Q81" s="117"/>
      <c r="R81" s="117"/>
      <c r="S81" s="38">
        <f t="shared" ref="S81:S90" si="54">S80+R81</f>
        <v>-1460</v>
      </c>
      <c r="T81" s="106"/>
      <c r="U81" s="107"/>
      <c r="V81" s="20">
        <f t="shared" ref="V81:V90" si="55">V80+U81</f>
        <v>-1460</v>
      </c>
      <c r="W81" s="143"/>
    </row>
    <row r="82" spans="1:26" ht="15" customHeight="1">
      <c r="A82" s="114"/>
      <c r="B82" s="106"/>
      <c r="C82" s="107"/>
      <c r="D82" s="26">
        <f t="shared" si="49"/>
        <v>-1460</v>
      </c>
      <c r="E82" s="117"/>
      <c r="F82" s="117"/>
      <c r="G82" s="19">
        <f t="shared" si="50"/>
        <v>-1460</v>
      </c>
      <c r="H82" s="106"/>
      <c r="I82" s="107"/>
      <c r="J82" s="26">
        <f t="shared" si="51"/>
        <v>-1460</v>
      </c>
      <c r="K82" s="136"/>
      <c r="L82" s="136"/>
      <c r="M82" s="38">
        <f t="shared" si="52"/>
        <v>-1460</v>
      </c>
      <c r="N82" s="106"/>
      <c r="O82" s="107"/>
      <c r="P82" s="26">
        <f t="shared" si="53"/>
        <v>-1460</v>
      </c>
      <c r="Q82" s="117"/>
      <c r="R82" s="117"/>
      <c r="S82" s="38">
        <f t="shared" si="54"/>
        <v>-1460</v>
      </c>
      <c r="T82" s="106"/>
      <c r="U82" s="107"/>
      <c r="V82" s="20">
        <f t="shared" si="55"/>
        <v>-1460</v>
      </c>
      <c r="W82" s="143"/>
    </row>
    <row r="83" spans="1:26" ht="15" customHeight="1">
      <c r="A83" s="114"/>
      <c r="B83" s="106"/>
      <c r="C83" s="107"/>
      <c r="D83" s="26">
        <f t="shared" si="49"/>
        <v>-1460</v>
      </c>
      <c r="E83" s="117"/>
      <c r="F83" s="117"/>
      <c r="G83" s="19">
        <f t="shared" si="50"/>
        <v>-1460</v>
      </c>
      <c r="H83" s="106"/>
      <c r="I83" s="107"/>
      <c r="J83" s="26">
        <f t="shared" si="51"/>
        <v>-1460</v>
      </c>
      <c r="K83" s="136"/>
      <c r="L83" s="136"/>
      <c r="M83" s="38">
        <f t="shared" si="52"/>
        <v>-1460</v>
      </c>
      <c r="N83" s="106"/>
      <c r="O83" s="107"/>
      <c r="P83" s="26">
        <f t="shared" si="53"/>
        <v>-1460</v>
      </c>
      <c r="Q83" s="117"/>
      <c r="R83" s="117"/>
      <c r="S83" s="38">
        <f t="shared" si="54"/>
        <v>-1460</v>
      </c>
      <c r="T83" s="106"/>
      <c r="U83" s="107"/>
      <c r="V83" s="20">
        <f t="shared" si="55"/>
        <v>-1460</v>
      </c>
      <c r="W83" s="143"/>
    </row>
    <row r="84" spans="1:26" ht="15" customHeight="1">
      <c r="A84" s="114"/>
      <c r="B84" s="106"/>
      <c r="C84" s="107"/>
      <c r="D84" s="26">
        <f t="shared" si="49"/>
        <v>-1460</v>
      </c>
      <c r="E84" s="117"/>
      <c r="F84" s="117"/>
      <c r="G84" s="19">
        <f t="shared" si="50"/>
        <v>-1460</v>
      </c>
      <c r="H84" s="106"/>
      <c r="I84" s="107"/>
      <c r="J84" s="26">
        <f t="shared" si="51"/>
        <v>-1460</v>
      </c>
      <c r="K84" s="136"/>
      <c r="L84" s="136"/>
      <c r="M84" s="38">
        <f t="shared" si="52"/>
        <v>-1460</v>
      </c>
      <c r="N84" s="106"/>
      <c r="O84" s="107"/>
      <c r="P84" s="26">
        <f t="shared" si="53"/>
        <v>-1460</v>
      </c>
      <c r="Q84" s="117"/>
      <c r="R84" s="117"/>
      <c r="S84" s="38">
        <f t="shared" si="54"/>
        <v>-1460</v>
      </c>
      <c r="T84" s="106"/>
      <c r="U84" s="107"/>
      <c r="V84" s="20">
        <f t="shared" si="55"/>
        <v>-1460</v>
      </c>
      <c r="W84" s="143"/>
    </row>
    <row r="85" spans="1:26" ht="15" customHeight="1">
      <c r="A85" s="114"/>
      <c r="B85" s="106"/>
      <c r="C85" s="107"/>
      <c r="D85" s="26">
        <f t="shared" si="49"/>
        <v>-1460</v>
      </c>
      <c r="E85" s="117"/>
      <c r="F85" s="117"/>
      <c r="G85" s="19">
        <f t="shared" si="50"/>
        <v>-1460</v>
      </c>
      <c r="H85" s="106"/>
      <c r="I85" s="107"/>
      <c r="J85" s="26">
        <f t="shared" si="51"/>
        <v>-1460</v>
      </c>
      <c r="K85" s="136"/>
      <c r="L85" s="136"/>
      <c r="M85" s="38">
        <f t="shared" si="52"/>
        <v>-1460</v>
      </c>
      <c r="N85" s="106"/>
      <c r="O85" s="107"/>
      <c r="P85" s="26">
        <f t="shared" si="53"/>
        <v>-1460</v>
      </c>
      <c r="Q85" s="117"/>
      <c r="R85" s="117"/>
      <c r="S85" s="38">
        <f t="shared" si="54"/>
        <v>-1460</v>
      </c>
      <c r="T85" s="106"/>
      <c r="U85" s="116"/>
      <c r="V85" s="20">
        <f t="shared" si="55"/>
        <v>-1460</v>
      </c>
      <c r="W85" s="143"/>
    </row>
    <row r="86" spans="1:26" ht="15" customHeight="1">
      <c r="A86" s="114"/>
      <c r="B86" s="106"/>
      <c r="C86" s="107"/>
      <c r="D86" s="26">
        <f t="shared" si="49"/>
        <v>-1460</v>
      </c>
      <c r="E86" s="117"/>
      <c r="F86" s="117"/>
      <c r="G86" s="19">
        <f t="shared" si="50"/>
        <v>-1460</v>
      </c>
      <c r="H86" s="106"/>
      <c r="I86" s="107"/>
      <c r="J86" s="26">
        <f t="shared" si="51"/>
        <v>-1460</v>
      </c>
      <c r="K86" s="136"/>
      <c r="L86" s="136"/>
      <c r="M86" s="38">
        <f t="shared" si="52"/>
        <v>-1460</v>
      </c>
      <c r="N86" s="106"/>
      <c r="O86" s="107"/>
      <c r="P86" s="26">
        <f t="shared" si="53"/>
        <v>-1460</v>
      </c>
      <c r="Q86" s="117"/>
      <c r="R86" s="117"/>
      <c r="S86" s="38">
        <f t="shared" si="54"/>
        <v>-1460</v>
      </c>
      <c r="T86" s="106"/>
      <c r="U86" s="116"/>
      <c r="V86" s="20">
        <f t="shared" si="55"/>
        <v>-1460</v>
      </c>
      <c r="W86" s="143"/>
    </row>
    <row r="87" spans="1:26" ht="15" customHeight="1">
      <c r="A87" s="114"/>
      <c r="B87" s="106"/>
      <c r="C87" s="107"/>
      <c r="D87" s="26">
        <f t="shared" si="49"/>
        <v>-1460</v>
      </c>
      <c r="E87" s="117"/>
      <c r="F87" s="117"/>
      <c r="G87" s="19">
        <f t="shared" si="50"/>
        <v>-1460</v>
      </c>
      <c r="H87" s="106"/>
      <c r="I87" s="107"/>
      <c r="J87" s="26">
        <f t="shared" si="51"/>
        <v>-1460</v>
      </c>
      <c r="K87" s="133"/>
      <c r="L87" s="117"/>
      <c r="M87" s="38">
        <f t="shared" si="52"/>
        <v>-1460</v>
      </c>
      <c r="N87" s="106"/>
      <c r="O87" s="107"/>
      <c r="P87" s="26">
        <f t="shared" si="53"/>
        <v>-1460</v>
      </c>
      <c r="Q87" s="117"/>
      <c r="R87" s="117"/>
      <c r="S87" s="38">
        <f t="shared" si="54"/>
        <v>-1460</v>
      </c>
      <c r="T87" s="106"/>
      <c r="U87" s="116"/>
      <c r="V87" s="20">
        <f t="shared" si="55"/>
        <v>-1460</v>
      </c>
      <c r="W87" s="143"/>
    </row>
    <row r="88" spans="1:26" ht="15" customHeight="1">
      <c r="A88" s="114"/>
      <c r="B88" s="106"/>
      <c r="C88" s="107"/>
      <c r="D88" s="26">
        <f t="shared" si="49"/>
        <v>-1460</v>
      </c>
      <c r="E88" s="117"/>
      <c r="F88" s="117"/>
      <c r="G88" s="19">
        <f t="shared" si="50"/>
        <v>-1460</v>
      </c>
      <c r="H88" s="122"/>
      <c r="I88" s="123"/>
      <c r="J88" s="26">
        <f t="shared" si="51"/>
        <v>-1460</v>
      </c>
      <c r="K88" s="117"/>
      <c r="L88" s="117"/>
      <c r="M88" s="38">
        <f t="shared" si="52"/>
        <v>-1460</v>
      </c>
      <c r="N88" s="122"/>
      <c r="O88" s="123"/>
      <c r="P88" s="26">
        <f t="shared" si="53"/>
        <v>-1460</v>
      </c>
      <c r="Q88" s="117"/>
      <c r="R88" s="117"/>
      <c r="S88" s="38">
        <f t="shared" si="54"/>
        <v>-1460</v>
      </c>
      <c r="T88" s="106"/>
      <c r="U88" s="116"/>
      <c r="V88" s="20">
        <f t="shared" si="55"/>
        <v>-1460</v>
      </c>
      <c r="W88" s="143"/>
    </row>
    <row r="89" spans="1:26" ht="15" customHeight="1">
      <c r="A89" s="114"/>
      <c r="B89" s="106"/>
      <c r="C89" s="107"/>
      <c r="D89" s="26">
        <f t="shared" si="49"/>
        <v>-1460</v>
      </c>
      <c r="E89" s="117"/>
      <c r="F89" s="117"/>
      <c r="G89" s="19">
        <f t="shared" si="50"/>
        <v>-1460</v>
      </c>
      <c r="H89" s="122"/>
      <c r="I89" s="123"/>
      <c r="J89" s="26">
        <f t="shared" si="51"/>
        <v>-1460</v>
      </c>
      <c r="K89" s="117"/>
      <c r="L89" s="117"/>
      <c r="M89" s="38">
        <f t="shared" si="52"/>
        <v>-1460</v>
      </c>
      <c r="N89" s="122"/>
      <c r="O89" s="123"/>
      <c r="P89" s="26">
        <f t="shared" si="53"/>
        <v>-1460</v>
      </c>
      <c r="Q89" s="117"/>
      <c r="R89" s="117"/>
      <c r="S89" s="38">
        <f t="shared" si="54"/>
        <v>-1460</v>
      </c>
      <c r="T89" s="122"/>
      <c r="U89" s="124"/>
      <c r="V89" s="20">
        <f t="shared" si="55"/>
        <v>-1460</v>
      </c>
      <c r="W89" s="143"/>
    </row>
    <row r="90" spans="1:26" ht="15" customHeight="1">
      <c r="A90" s="114"/>
      <c r="B90" s="122"/>
      <c r="C90" s="123"/>
      <c r="D90" s="39">
        <f t="shared" si="49"/>
        <v>-1460</v>
      </c>
      <c r="E90" s="128"/>
      <c r="F90" s="128"/>
      <c r="G90" s="29">
        <f t="shared" si="50"/>
        <v>-1460</v>
      </c>
      <c r="H90" s="122"/>
      <c r="I90" s="123"/>
      <c r="J90" s="39">
        <f t="shared" si="51"/>
        <v>-1460</v>
      </c>
      <c r="K90" s="128"/>
      <c r="L90" s="128"/>
      <c r="M90" s="40">
        <f t="shared" si="52"/>
        <v>-1460</v>
      </c>
      <c r="N90" s="122"/>
      <c r="O90" s="123"/>
      <c r="P90" s="39">
        <f t="shared" si="53"/>
        <v>-1460</v>
      </c>
      <c r="Q90" s="128"/>
      <c r="R90" s="128"/>
      <c r="S90" s="40">
        <f t="shared" si="54"/>
        <v>-1460</v>
      </c>
      <c r="T90" s="122"/>
      <c r="U90" s="123"/>
      <c r="V90" s="39">
        <f t="shared" si="55"/>
        <v>-1460</v>
      </c>
      <c r="W90" s="143"/>
    </row>
    <row r="91" spans="1:26" ht="15.75" customHeight="1">
      <c r="A91" s="87"/>
      <c r="B91" s="77" t="str">
        <f ca="1">IFERROR(__xludf.DUMMYFUNCTION("DATE(VALUE(LEFT($B$2,4)),VALUE(MID($B$2,6,2)),VALUE(RIGHT($B$2,2)))
+ (VALUE(REGEXEXTRACT(INDIRECT(""A""&amp;ROW()+1),""\d+""))-1)*7
+ INT((COLUMN()-COLUMN($B91))/3)
"),"#VALUE!")</f>
        <v>#VALUE!</v>
      </c>
      <c r="C91" s="81"/>
      <c r="D91" s="82"/>
      <c r="E91" s="77" t="str">
        <f ca="1">IFERROR(__xludf.DUMMYFUNCTION("DATE(VALUE(LEFT($B$2,4)),VALUE(MID($B$2,6,2)),VALUE(RIGHT($B$2,2)))
+ (VALUE(REGEXEXTRACT(INDIRECT(""A""&amp;ROW()+1),""\d+""))-1)*7
+ INT((COLUMN()-COLUMN($B91))/3)
"),"#VALUE!")</f>
        <v>#VALUE!</v>
      </c>
      <c r="F91" s="81"/>
      <c r="G91" s="82"/>
      <c r="H91" s="77" t="str">
        <f ca="1">IFERROR(__xludf.DUMMYFUNCTION("DATE(VALUE(LEFT($B$2,4)),VALUE(MID($B$2,6,2)),VALUE(RIGHT($B$2,2)))
+ (VALUE(REGEXEXTRACT(INDIRECT(""A""&amp;ROW()+1),""\d+""))-1)*7
+ INT((COLUMN()-COLUMN($B91))/3)
"),"#VALUE!")</f>
        <v>#VALUE!</v>
      </c>
      <c r="I91" s="81"/>
      <c r="J91" s="82"/>
      <c r="K91" s="77" t="str">
        <f ca="1">IFERROR(__xludf.DUMMYFUNCTION("DATE(VALUE(LEFT($B$2,4)),VALUE(MID($B$2,6,2)),VALUE(RIGHT($B$2,2)))
+ (VALUE(REGEXEXTRACT(INDIRECT(""A""&amp;ROW()+1),""\d+""))-1)*7
+ INT((COLUMN()-COLUMN($B91))/3)
"),"#VALUE!")</f>
        <v>#VALUE!</v>
      </c>
      <c r="L91" s="81"/>
      <c r="M91" s="82"/>
      <c r="N91" s="77" t="str">
        <f ca="1">IFERROR(__xludf.DUMMYFUNCTION("DATE(VALUE(LEFT($B$2,4)),VALUE(MID($B$2,6,2)),VALUE(RIGHT($B$2,2)))
+ (VALUE(REGEXEXTRACT(INDIRECT(""A""&amp;ROW()+1),""\d+""))-1)*7
+ INT((COLUMN()-COLUMN($B91))/3)
"),"#VALUE!")</f>
        <v>#VALUE!</v>
      </c>
      <c r="O91" s="81"/>
      <c r="P91" s="82"/>
      <c r="Q91" s="77" t="str">
        <f ca="1">IFERROR(__xludf.DUMMYFUNCTION("DATE(VALUE(LEFT($B$2,4)),VALUE(MID($B$2,6,2)),VALUE(RIGHT($B$2,2)))
+ (VALUE(REGEXEXTRACT(INDIRECT(""A""&amp;ROW()+1),""\d+""))-1)*7
+ INT((COLUMN()-COLUMN($B91))/3)
"),"#VALUE!")</f>
        <v>#VALUE!</v>
      </c>
      <c r="R91" s="81"/>
      <c r="S91" s="82"/>
      <c r="T91" s="77" t="str">
        <f ca="1">IFERROR(__xludf.DUMMYFUNCTION("DATE(VALUE(LEFT($B$2,4)),VALUE(MID($B$2,6,2)),VALUE(RIGHT($B$2,2)))
+ (VALUE(REGEXEXTRACT(INDIRECT(""A""&amp;ROW()+1),""\d+""))-1)*7
+ INT((COLUMN()-COLUMN($B91))/3)
"),"#VALUE!")</f>
        <v>#VALUE!</v>
      </c>
      <c r="U91" s="81"/>
      <c r="V91" s="82"/>
      <c r="W91" s="52" t="s">
        <v>20</v>
      </c>
      <c r="X91" s="4"/>
      <c r="Y91" s="4"/>
      <c r="Z91" s="4"/>
    </row>
    <row r="92" spans="1:26" ht="15.75" customHeight="1">
      <c r="A92" s="47" t="s">
        <v>144</v>
      </c>
      <c r="B92" s="109"/>
      <c r="C92" s="109"/>
      <c r="D92" s="42">
        <f>V90+C92</f>
        <v>-1460</v>
      </c>
      <c r="E92" s="112"/>
      <c r="F92" s="111"/>
      <c r="G92" s="36">
        <f>D102+F92</f>
        <v>-1460</v>
      </c>
      <c r="H92" s="109"/>
      <c r="I92" s="109"/>
      <c r="J92" s="42">
        <f>G102+I92</f>
        <v>-1460</v>
      </c>
      <c r="K92" s="112"/>
      <c r="L92" s="111"/>
      <c r="M92" s="18">
        <f>J102+L92</f>
        <v>-1460</v>
      </c>
      <c r="N92" s="113"/>
      <c r="O92" s="109"/>
      <c r="P92" s="35">
        <f>M102+O92</f>
        <v>-1460</v>
      </c>
      <c r="Q92" s="110"/>
      <c r="R92" s="111"/>
      <c r="S92" s="18">
        <f>P102+R92</f>
        <v>-1460</v>
      </c>
      <c r="T92" s="113"/>
      <c r="U92" s="109"/>
      <c r="V92" s="50">
        <f>S102+U92</f>
        <v>-1460</v>
      </c>
      <c r="W92" s="172"/>
      <c r="X92" s="4"/>
      <c r="Y92" s="4"/>
      <c r="Z92" s="4"/>
    </row>
    <row r="93" spans="1:26" ht="15.75" customHeight="1">
      <c r="A93" s="114"/>
      <c r="B93" s="117"/>
      <c r="C93" s="117"/>
      <c r="D93" s="19">
        <f t="shared" ref="D93:D102" si="56">D92+C93</f>
        <v>-1460</v>
      </c>
      <c r="E93" s="106"/>
      <c r="F93" s="107"/>
      <c r="G93" s="26">
        <f t="shared" ref="G93:G102" si="57">G92+F93</f>
        <v>-1460</v>
      </c>
      <c r="H93" s="117"/>
      <c r="I93" s="117"/>
      <c r="J93" s="19">
        <f t="shared" ref="J93:J102" si="58">J92+I93</f>
        <v>-1460</v>
      </c>
      <c r="K93" s="106"/>
      <c r="L93" s="107"/>
      <c r="M93" s="26">
        <f t="shared" ref="M93:M102" si="59">M92+L93</f>
        <v>-1460</v>
      </c>
      <c r="N93" s="118"/>
      <c r="O93" s="117"/>
      <c r="P93" s="19">
        <f t="shared" ref="P93:P102" si="60">P92+O93</f>
        <v>-1460</v>
      </c>
      <c r="Q93" s="116"/>
      <c r="R93" s="107"/>
      <c r="S93" s="26">
        <f t="shared" ref="S93:S102" si="61">S92+R93</f>
        <v>-1460</v>
      </c>
      <c r="T93" s="136"/>
      <c r="U93" s="136"/>
      <c r="V93" s="45">
        <f t="shared" ref="V93:V102" si="62">V92+U93</f>
        <v>-1460</v>
      </c>
      <c r="W93" s="143"/>
      <c r="X93" s="4"/>
      <c r="Y93" s="4"/>
      <c r="Z93" s="4"/>
    </row>
    <row r="94" spans="1:26" ht="15.75" customHeight="1">
      <c r="A94" s="114"/>
      <c r="B94" s="117"/>
      <c r="C94" s="117"/>
      <c r="D94" s="19">
        <f t="shared" si="56"/>
        <v>-1460</v>
      </c>
      <c r="E94" s="106"/>
      <c r="F94" s="107"/>
      <c r="G94" s="26">
        <f t="shared" si="57"/>
        <v>-1460</v>
      </c>
      <c r="H94" s="117"/>
      <c r="I94" s="117"/>
      <c r="J94" s="19">
        <f t="shared" si="58"/>
        <v>-1460</v>
      </c>
      <c r="K94" s="106"/>
      <c r="L94" s="107"/>
      <c r="M94" s="26">
        <f t="shared" si="59"/>
        <v>-1460</v>
      </c>
      <c r="N94" s="117"/>
      <c r="O94" s="117"/>
      <c r="P94" s="19">
        <f t="shared" si="60"/>
        <v>-1460</v>
      </c>
      <c r="Q94" s="116"/>
      <c r="R94" s="107"/>
      <c r="S94" s="26">
        <f t="shared" si="61"/>
        <v>-1460</v>
      </c>
      <c r="T94" s="136"/>
      <c r="U94" s="136"/>
      <c r="V94" s="45">
        <f t="shared" si="62"/>
        <v>-1460</v>
      </c>
      <c r="W94" s="143"/>
      <c r="X94" s="4"/>
      <c r="Y94" s="4"/>
      <c r="Z94" s="4"/>
    </row>
    <row r="95" spans="1:26" ht="15.75" customHeight="1">
      <c r="A95" s="114"/>
      <c r="B95" s="117"/>
      <c r="C95" s="117"/>
      <c r="D95" s="19">
        <f t="shared" si="56"/>
        <v>-1460</v>
      </c>
      <c r="E95" s="106"/>
      <c r="F95" s="107"/>
      <c r="G95" s="26">
        <f t="shared" si="57"/>
        <v>-1460</v>
      </c>
      <c r="H95" s="117"/>
      <c r="I95" s="117"/>
      <c r="J95" s="19">
        <f t="shared" si="58"/>
        <v>-1460</v>
      </c>
      <c r="K95" s="106"/>
      <c r="L95" s="107"/>
      <c r="M95" s="26">
        <f t="shared" si="59"/>
        <v>-1460</v>
      </c>
      <c r="N95" s="117"/>
      <c r="O95" s="117"/>
      <c r="P95" s="19">
        <f t="shared" si="60"/>
        <v>-1460</v>
      </c>
      <c r="Q95" s="116"/>
      <c r="R95" s="107"/>
      <c r="S95" s="26">
        <f t="shared" si="61"/>
        <v>-1460</v>
      </c>
      <c r="T95" s="136"/>
      <c r="U95" s="136"/>
      <c r="V95" s="45">
        <f t="shared" si="62"/>
        <v>-1460</v>
      </c>
      <c r="W95" s="143"/>
      <c r="X95" s="4"/>
      <c r="Y95" s="4"/>
      <c r="Z95" s="4"/>
    </row>
    <row r="96" spans="1:26" ht="15.75" customHeight="1">
      <c r="A96" s="114"/>
      <c r="B96" s="117"/>
      <c r="C96" s="117"/>
      <c r="D96" s="19">
        <f t="shared" si="56"/>
        <v>-1460</v>
      </c>
      <c r="E96" s="106"/>
      <c r="F96" s="107"/>
      <c r="G96" s="26">
        <f t="shared" si="57"/>
        <v>-1460</v>
      </c>
      <c r="H96" s="117"/>
      <c r="I96" s="117"/>
      <c r="J96" s="19">
        <f t="shared" si="58"/>
        <v>-1460</v>
      </c>
      <c r="K96" s="106"/>
      <c r="L96" s="107"/>
      <c r="M96" s="26">
        <f t="shared" si="59"/>
        <v>-1460</v>
      </c>
      <c r="N96" s="117"/>
      <c r="O96" s="117"/>
      <c r="P96" s="19">
        <f t="shared" si="60"/>
        <v>-1460</v>
      </c>
      <c r="Q96" s="116"/>
      <c r="R96" s="107"/>
      <c r="S96" s="26">
        <f t="shared" si="61"/>
        <v>-1460</v>
      </c>
      <c r="T96" s="136"/>
      <c r="U96" s="136"/>
      <c r="V96" s="45">
        <f t="shared" si="62"/>
        <v>-1460</v>
      </c>
      <c r="W96" s="143"/>
      <c r="X96" s="4"/>
      <c r="Y96" s="4"/>
      <c r="Z96" s="4"/>
    </row>
    <row r="97" spans="1:26" ht="15.75" customHeight="1">
      <c r="A97" s="114"/>
      <c r="B97" s="118"/>
      <c r="C97" s="117"/>
      <c r="D97" s="19">
        <f t="shared" si="56"/>
        <v>-1460</v>
      </c>
      <c r="E97" s="106"/>
      <c r="F97" s="107"/>
      <c r="G97" s="26">
        <f t="shared" si="57"/>
        <v>-1460</v>
      </c>
      <c r="H97" s="133"/>
      <c r="I97" s="117"/>
      <c r="J97" s="19">
        <f t="shared" si="58"/>
        <v>-1460</v>
      </c>
      <c r="K97" s="106"/>
      <c r="L97" s="107"/>
      <c r="M97" s="26">
        <f t="shared" si="59"/>
        <v>-1460</v>
      </c>
      <c r="N97" s="117"/>
      <c r="O97" s="117"/>
      <c r="P97" s="19">
        <f t="shared" si="60"/>
        <v>-1460</v>
      </c>
      <c r="Q97" s="106"/>
      <c r="R97" s="107"/>
      <c r="S97" s="26">
        <f t="shared" si="61"/>
        <v>-1460</v>
      </c>
      <c r="T97" s="136"/>
      <c r="U97" s="136"/>
      <c r="V97" s="45">
        <f t="shared" si="62"/>
        <v>-1460</v>
      </c>
      <c r="W97" s="143"/>
      <c r="X97" s="4"/>
      <c r="Y97" s="4"/>
      <c r="Z97" s="4"/>
    </row>
    <row r="98" spans="1:26" ht="15.75" customHeight="1">
      <c r="A98" s="114"/>
      <c r="B98" s="117"/>
      <c r="C98" s="117"/>
      <c r="D98" s="19">
        <f t="shared" si="56"/>
        <v>-1460</v>
      </c>
      <c r="E98" s="106"/>
      <c r="F98" s="107"/>
      <c r="G98" s="26">
        <f t="shared" si="57"/>
        <v>-1460</v>
      </c>
      <c r="H98" s="133"/>
      <c r="I98" s="117"/>
      <c r="J98" s="19">
        <f t="shared" si="58"/>
        <v>-1460</v>
      </c>
      <c r="K98" s="106"/>
      <c r="L98" s="107"/>
      <c r="M98" s="26">
        <f t="shared" si="59"/>
        <v>-1460</v>
      </c>
      <c r="N98" s="117"/>
      <c r="O98" s="117"/>
      <c r="P98" s="38">
        <f t="shared" si="60"/>
        <v>-1460</v>
      </c>
      <c r="Q98" s="106"/>
      <c r="R98" s="107"/>
      <c r="S98" s="26">
        <f t="shared" si="61"/>
        <v>-1460</v>
      </c>
      <c r="T98" s="136"/>
      <c r="U98" s="136"/>
      <c r="V98" s="45">
        <f t="shared" si="62"/>
        <v>-1460</v>
      </c>
      <c r="W98" s="143"/>
      <c r="X98" s="4"/>
      <c r="Y98" s="4"/>
      <c r="Z98" s="4"/>
    </row>
    <row r="99" spans="1:26" ht="15.75" customHeight="1">
      <c r="A99" s="114"/>
      <c r="B99" s="117"/>
      <c r="C99" s="117"/>
      <c r="D99" s="19">
        <f t="shared" si="56"/>
        <v>-1460</v>
      </c>
      <c r="E99" s="106"/>
      <c r="F99" s="107"/>
      <c r="G99" s="26">
        <f t="shared" si="57"/>
        <v>-1460</v>
      </c>
      <c r="H99" s="133"/>
      <c r="I99" s="117"/>
      <c r="J99" s="19">
        <f t="shared" si="58"/>
        <v>-1460</v>
      </c>
      <c r="K99" s="106"/>
      <c r="L99" s="107"/>
      <c r="M99" s="26">
        <f t="shared" si="59"/>
        <v>-1460</v>
      </c>
      <c r="N99" s="117"/>
      <c r="O99" s="117"/>
      <c r="P99" s="38">
        <f t="shared" si="60"/>
        <v>-1460</v>
      </c>
      <c r="Q99" s="106"/>
      <c r="R99" s="107"/>
      <c r="S99" s="26">
        <f t="shared" si="61"/>
        <v>-1460</v>
      </c>
      <c r="T99" s="136"/>
      <c r="U99" s="136"/>
      <c r="V99" s="45">
        <f t="shared" si="62"/>
        <v>-1460</v>
      </c>
      <c r="W99" s="143"/>
      <c r="X99" s="4"/>
      <c r="Y99" s="4"/>
      <c r="Z99" s="4"/>
    </row>
    <row r="100" spans="1:26" ht="15.75" customHeight="1">
      <c r="A100" s="114"/>
      <c r="B100" s="117"/>
      <c r="C100" s="117"/>
      <c r="D100" s="19">
        <f t="shared" si="56"/>
        <v>-1460</v>
      </c>
      <c r="E100" s="106"/>
      <c r="F100" s="107"/>
      <c r="G100" s="26">
        <f t="shared" si="57"/>
        <v>-1460</v>
      </c>
      <c r="H100" s="133"/>
      <c r="I100" s="117"/>
      <c r="J100" s="19">
        <f t="shared" si="58"/>
        <v>-1460</v>
      </c>
      <c r="K100" s="106"/>
      <c r="L100" s="107"/>
      <c r="M100" s="26">
        <f t="shared" si="59"/>
        <v>-1460</v>
      </c>
      <c r="N100" s="117"/>
      <c r="O100" s="117"/>
      <c r="P100" s="38">
        <f t="shared" si="60"/>
        <v>-1460</v>
      </c>
      <c r="Q100" s="106"/>
      <c r="R100" s="107"/>
      <c r="S100" s="26">
        <f t="shared" si="61"/>
        <v>-1460</v>
      </c>
      <c r="T100" s="136"/>
      <c r="U100" s="136"/>
      <c r="V100" s="45">
        <f t="shared" si="62"/>
        <v>-1460</v>
      </c>
      <c r="W100" s="143"/>
      <c r="X100" s="4"/>
      <c r="Y100" s="4"/>
      <c r="Z100" s="4"/>
    </row>
    <row r="101" spans="1:26" ht="15.75" customHeight="1">
      <c r="A101" s="114"/>
      <c r="B101" s="117"/>
      <c r="C101" s="117"/>
      <c r="D101" s="19">
        <f t="shared" si="56"/>
        <v>-1460</v>
      </c>
      <c r="E101" s="122"/>
      <c r="F101" s="123"/>
      <c r="G101" s="26">
        <f t="shared" si="57"/>
        <v>-1460</v>
      </c>
      <c r="H101" s="133"/>
      <c r="I101" s="117"/>
      <c r="J101" s="19">
        <f t="shared" si="58"/>
        <v>-1460</v>
      </c>
      <c r="K101" s="122"/>
      <c r="L101" s="123"/>
      <c r="M101" s="26">
        <f t="shared" si="59"/>
        <v>-1460</v>
      </c>
      <c r="N101" s="117"/>
      <c r="O101" s="117"/>
      <c r="P101" s="38">
        <f t="shared" si="60"/>
        <v>-1460</v>
      </c>
      <c r="Q101" s="122"/>
      <c r="R101" s="123"/>
      <c r="S101" s="26">
        <f t="shared" si="61"/>
        <v>-1460</v>
      </c>
      <c r="T101" s="136"/>
      <c r="U101" s="136"/>
      <c r="V101" s="45">
        <f t="shared" si="62"/>
        <v>-1460</v>
      </c>
      <c r="W101" s="143"/>
      <c r="X101" s="4"/>
      <c r="Y101" s="4"/>
      <c r="Z101" s="4"/>
    </row>
    <row r="102" spans="1:26" ht="15.75" customHeight="1">
      <c r="A102" s="114"/>
      <c r="B102" s="128"/>
      <c r="C102" s="128"/>
      <c r="D102" s="29">
        <f t="shared" si="56"/>
        <v>-1460</v>
      </c>
      <c r="E102" s="122"/>
      <c r="F102" s="123"/>
      <c r="G102" s="53">
        <f t="shared" si="57"/>
        <v>-1460</v>
      </c>
      <c r="H102" s="140"/>
      <c r="I102" s="128"/>
      <c r="J102" s="29">
        <f t="shared" si="58"/>
        <v>-1460</v>
      </c>
      <c r="K102" s="122"/>
      <c r="L102" s="123"/>
      <c r="M102" s="39">
        <f t="shared" si="59"/>
        <v>-1460</v>
      </c>
      <c r="N102" s="128"/>
      <c r="O102" s="128"/>
      <c r="P102" s="40">
        <f t="shared" si="60"/>
        <v>-1460</v>
      </c>
      <c r="Q102" s="122"/>
      <c r="R102" s="123"/>
      <c r="S102" s="39">
        <f t="shared" si="61"/>
        <v>-1460</v>
      </c>
      <c r="T102" s="141"/>
      <c r="U102" s="141"/>
      <c r="V102" s="46">
        <f t="shared" si="62"/>
        <v>-1460</v>
      </c>
      <c r="W102" s="143"/>
      <c r="X102" s="4"/>
      <c r="Y102" s="4"/>
      <c r="Z102" s="4"/>
    </row>
    <row r="103" spans="1:26" ht="15.75" customHeight="1">
      <c r="A103" s="87"/>
      <c r="B103" s="77" t="str">
        <f ca="1">IFERROR(__xludf.DUMMYFUNCTION("DATE(VALUE(LEFT($B$2,4)),VALUE(MID($B$2,6,2)),VALUE(RIGHT($B$2,2)))
+ (VALUE(REGEXEXTRACT(INDIRECT(""A""&amp;ROW()+1),""\d+""))-1)*7
+ INT((COLUMN()-COLUMN($B103))/3)
"),"#VALUE!")</f>
        <v>#VALUE!</v>
      </c>
      <c r="C103" s="81"/>
      <c r="D103" s="82"/>
      <c r="E103" s="77" t="str">
        <f ca="1">IFERROR(__xludf.DUMMYFUNCTION("DATE(VALUE(LEFT($B$2,4)),VALUE(MID($B$2,6,2)),VALUE(RIGHT($B$2,2)))
+ (VALUE(REGEXEXTRACT(INDIRECT(""A""&amp;ROW()+1),""\d+""))-1)*7
+ INT((COLUMN()-COLUMN($B103))/3)
"),"#VALUE!")</f>
        <v>#VALUE!</v>
      </c>
      <c r="F103" s="81"/>
      <c r="G103" s="82"/>
      <c r="H103" s="77" t="str">
        <f ca="1">IFERROR(__xludf.DUMMYFUNCTION("DATE(VALUE(LEFT($B$2,4)),VALUE(MID($B$2,6,2)),VALUE(RIGHT($B$2,2)))
+ (VALUE(REGEXEXTRACT(INDIRECT(""A""&amp;ROW()+1),""\d+""))-1)*7
+ INT((COLUMN()-COLUMN($B103))/3)
"),"#VALUE!")</f>
        <v>#VALUE!</v>
      </c>
      <c r="I103" s="81"/>
      <c r="J103" s="82"/>
      <c r="K103" s="77" t="str">
        <f ca="1">IFERROR(__xludf.DUMMYFUNCTION("DATE(VALUE(LEFT($B$2,4)),VALUE(MID($B$2,6,2)),VALUE(RIGHT($B$2,2)))
+ (VALUE(REGEXEXTRACT(INDIRECT(""A""&amp;ROW()+1),""\d+""))-1)*7
+ INT((COLUMN()-COLUMN($B103))/3)
"),"#VALUE!")</f>
        <v>#VALUE!</v>
      </c>
      <c r="L103" s="81"/>
      <c r="M103" s="82"/>
      <c r="N103" s="77" t="str">
        <f ca="1">IFERROR(__xludf.DUMMYFUNCTION("DATE(VALUE(LEFT($B$2,4)),VALUE(MID($B$2,6,2)),VALUE(RIGHT($B$2,2)))
+ (VALUE(REGEXEXTRACT(INDIRECT(""A""&amp;ROW()+1),""\d+""))-1)*7
+ INT((COLUMN()-COLUMN($B103))/3)
"),"#VALUE!")</f>
        <v>#VALUE!</v>
      </c>
      <c r="O103" s="81"/>
      <c r="P103" s="82"/>
      <c r="Q103" s="77" t="str">
        <f ca="1">IFERROR(__xludf.DUMMYFUNCTION("DATE(VALUE(LEFT($B$2,4)),VALUE(MID($B$2,6,2)),VALUE(RIGHT($B$2,2)))
+ (VALUE(REGEXEXTRACT(INDIRECT(""A""&amp;ROW()+1),""\d+""))-1)*7
+ INT((COLUMN()-COLUMN($B103))/3)
"),"#VALUE!")</f>
        <v>#VALUE!</v>
      </c>
      <c r="R103" s="81"/>
      <c r="S103" s="82"/>
      <c r="T103" s="77" t="str">
        <f ca="1">IFERROR(__xludf.DUMMYFUNCTION("DATE(VALUE(LEFT($B$2,4)),VALUE(MID($B$2,6,2)),VALUE(RIGHT($B$2,2)))
+ (VALUE(REGEXEXTRACT(INDIRECT(""A""&amp;ROW()+1),""\d+""))-1)*7
+ INT((COLUMN()-COLUMN($B103))/3)
"),"#VALUE!")</f>
        <v>#VALUE!</v>
      </c>
      <c r="U103" s="81"/>
      <c r="V103" s="82"/>
      <c r="W103" s="143"/>
      <c r="X103" s="4"/>
      <c r="Y103" s="4"/>
      <c r="Z103" s="4"/>
    </row>
    <row r="104" spans="1:26" ht="15.75" customHeight="1">
      <c r="A104" s="51" t="s">
        <v>145</v>
      </c>
      <c r="B104" s="112"/>
      <c r="C104" s="111"/>
      <c r="D104" s="17">
        <f>V102+C104</f>
        <v>-1460</v>
      </c>
      <c r="E104" s="109"/>
      <c r="F104" s="109"/>
      <c r="G104" s="54">
        <f>D114+F104</f>
        <v>-1460</v>
      </c>
      <c r="H104" s="112"/>
      <c r="I104" s="111"/>
      <c r="J104" s="17">
        <f>G114+I104</f>
        <v>-1460</v>
      </c>
      <c r="K104" s="109"/>
      <c r="L104" s="109"/>
      <c r="M104" s="35">
        <f>J114+L104</f>
        <v>-1460</v>
      </c>
      <c r="N104" s="112"/>
      <c r="O104" s="111"/>
      <c r="P104" s="17">
        <f>M114+O104</f>
        <v>-1460</v>
      </c>
      <c r="Q104" s="109"/>
      <c r="R104" s="109"/>
      <c r="S104" s="35">
        <f>P114+R104</f>
        <v>-1460</v>
      </c>
      <c r="T104" s="112"/>
      <c r="U104" s="111"/>
      <c r="V104" s="48">
        <f>S114+U104</f>
        <v>-1460</v>
      </c>
      <c r="W104" s="143"/>
      <c r="X104" s="4"/>
      <c r="Y104" s="4"/>
      <c r="Z104" s="4"/>
    </row>
    <row r="105" spans="1:26" ht="15.75" customHeight="1">
      <c r="A105" s="114"/>
      <c r="B105" s="122"/>
      <c r="C105" s="123"/>
      <c r="D105" s="26">
        <f t="shared" ref="D105:D114" si="63">D104+C105</f>
        <v>-1460</v>
      </c>
      <c r="E105" s="117"/>
      <c r="F105" s="117"/>
      <c r="G105" s="19">
        <f t="shared" ref="G105:G114" si="64">G104+F105</f>
        <v>-1460</v>
      </c>
      <c r="H105" s="106"/>
      <c r="I105" s="107"/>
      <c r="J105" s="26">
        <f t="shared" ref="J105:J114" si="65">J104+I105</f>
        <v>-1460</v>
      </c>
      <c r="K105" s="117"/>
      <c r="L105" s="117"/>
      <c r="M105" s="38">
        <f t="shared" ref="M105:M114" si="66">M104+L105</f>
        <v>-1460</v>
      </c>
      <c r="N105" s="106"/>
      <c r="O105" s="107"/>
      <c r="P105" s="26">
        <f t="shared" ref="P105:P114" si="67">P104+O105</f>
        <v>-1460</v>
      </c>
      <c r="Q105" s="117"/>
      <c r="R105" s="117"/>
      <c r="S105" s="38">
        <f t="shared" ref="S105:S114" si="68">S104+R105</f>
        <v>-1460</v>
      </c>
      <c r="T105" s="106"/>
      <c r="U105" s="107"/>
      <c r="V105" s="20">
        <f t="shared" ref="V105:V114" si="69">V104+U105</f>
        <v>-1460</v>
      </c>
      <c r="W105" s="143"/>
      <c r="X105" s="4"/>
      <c r="Y105" s="4"/>
      <c r="Z105" s="4"/>
    </row>
    <row r="106" spans="1:26" ht="15.75" customHeight="1">
      <c r="A106" s="114"/>
      <c r="B106" s="122"/>
      <c r="C106" s="123"/>
      <c r="D106" s="26">
        <f t="shared" si="63"/>
        <v>-1460</v>
      </c>
      <c r="E106" s="117"/>
      <c r="F106" s="117"/>
      <c r="G106" s="19">
        <f t="shared" si="64"/>
        <v>-1460</v>
      </c>
      <c r="H106" s="106"/>
      <c r="I106" s="107"/>
      <c r="J106" s="26">
        <f t="shared" si="65"/>
        <v>-1460</v>
      </c>
      <c r="K106" s="117"/>
      <c r="L106" s="117"/>
      <c r="M106" s="38">
        <f t="shared" si="66"/>
        <v>-1460</v>
      </c>
      <c r="N106" s="106"/>
      <c r="O106" s="107"/>
      <c r="P106" s="26">
        <f t="shared" si="67"/>
        <v>-1460</v>
      </c>
      <c r="Q106" s="117"/>
      <c r="R106" s="117"/>
      <c r="S106" s="38">
        <f t="shared" si="68"/>
        <v>-1460</v>
      </c>
      <c r="T106" s="106"/>
      <c r="U106" s="116"/>
      <c r="V106" s="20">
        <f t="shared" si="69"/>
        <v>-1460</v>
      </c>
      <c r="W106" s="143"/>
      <c r="X106" s="4"/>
      <c r="Y106" s="4"/>
      <c r="Z106" s="4"/>
    </row>
    <row r="107" spans="1:26" ht="15.75" customHeight="1">
      <c r="A107" s="114"/>
      <c r="B107" s="122"/>
      <c r="C107" s="123"/>
      <c r="D107" s="26">
        <f t="shared" si="63"/>
        <v>-1460</v>
      </c>
      <c r="E107" s="117"/>
      <c r="F107" s="117"/>
      <c r="G107" s="19">
        <f t="shared" si="64"/>
        <v>-1460</v>
      </c>
      <c r="H107" s="106"/>
      <c r="I107" s="107"/>
      <c r="J107" s="26">
        <f t="shared" si="65"/>
        <v>-1460</v>
      </c>
      <c r="K107" s="117"/>
      <c r="L107" s="117"/>
      <c r="M107" s="38">
        <f t="shared" si="66"/>
        <v>-1460</v>
      </c>
      <c r="N107" s="106"/>
      <c r="O107" s="107"/>
      <c r="P107" s="26">
        <f t="shared" si="67"/>
        <v>-1460</v>
      </c>
      <c r="Q107" s="117"/>
      <c r="R107" s="117"/>
      <c r="S107" s="38">
        <f t="shared" si="68"/>
        <v>-1460</v>
      </c>
      <c r="T107" s="106"/>
      <c r="U107" s="116"/>
      <c r="V107" s="20">
        <f t="shared" si="69"/>
        <v>-1460</v>
      </c>
      <c r="W107" s="143"/>
      <c r="X107" s="4"/>
      <c r="Y107" s="4"/>
      <c r="Z107" s="4"/>
    </row>
    <row r="108" spans="1:26" ht="15.75" customHeight="1">
      <c r="A108" s="114"/>
      <c r="B108" s="122"/>
      <c r="C108" s="123"/>
      <c r="D108" s="26">
        <f t="shared" si="63"/>
        <v>-1460</v>
      </c>
      <c r="E108" s="117"/>
      <c r="F108" s="117"/>
      <c r="G108" s="19">
        <f t="shared" si="64"/>
        <v>-1460</v>
      </c>
      <c r="H108" s="106"/>
      <c r="I108" s="107"/>
      <c r="J108" s="26">
        <f t="shared" si="65"/>
        <v>-1460</v>
      </c>
      <c r="K108" s="117"/>
      <c r="L108" s="117"/>
      <c r="M108" s="38">
        <f t="shared" si="66"/>
        <v>-1460</v>
      </c>
      <c r="N108" s="106"/>
      <c r="O108" s="107"/>
      <c r="P108" s="26">
        <f t="shared" si="67"/>
        <v>-1460</v>
      </c>
      <c r="Q108" s="117"/>
      <c r="R108" s="117"/>
      <c r="S108" s="38">
        <f t="shared" si="68"/>
        <v>-1460</v>
      </c>
      <c r="T108" s="106"/>
      <c r="U108" s="116"/>
      <c r="V108" s="20">
        <f t="shared" si="69"/>
        <v>-1460</v>
      </c>
      <c r="W108" s="143"/>
      <c r="X108" s="4"/>
      <c r="Y108" s="4"/>
      <c r="Z108" s="4"/>
    </row>
    <row r="109" spans="1:26" ht="15.75" customHeight="1">
      <c r="A109" s="114"/>
      <c r="B109" s="122"/>
      <c r="C109" s="123"/>
      <c r="D109" s="26">
        <f t="shared" si="63"/>
        <v>-1460</v>
      </c>
      <c r="E109" s="117"/>
      <c r="F109" s="117"/>
      <c r="G109" s="19">
        <f t="shared" si="64"/>
        <v>-1460</v>
      </c>
      <c r="H109" s="106"/>
      <c r="I109" s="107"/>
      <c r="J109" s="26">
        <f t="shared" si="65"/>
        <v>-1460</v>
      </c>
      <c r="K109" s="117"/>
      <c r="L109" s="117"/>
      <c r="M109" s="38">
        <f t="shared" si="66"/>
        <v>-1460</v>
      </c>
      <c r="N109" s="106"/>
      <c r="O109" s="107"/>
      <c r="P109" s="26">
        <f t="shared" si="67"/>
        <v>-1460</v>
      </c>
      <c r="Q109" s="117"/>
      <c r="R109" s="117"/>
      <c r="S109" s="38">
        <f t="shared" si="68"/>
        <v>-1460</v>
      </c>
      <c r="T109" s="106"/>
      <c r="U109" s="116"/>
      <c r="V109" s="20">
        <f t="shared" si="69"/>
        <v>-1460</v>
      </c>
      <c r="W109" s="143"/>
      <c r="X109" s="4"/>
      <c r="Y109" s="4"/>
      <c r="Z109" s="4"/>
    </row>
    <row r="110" spans="1:26" ht="15.75" customHeight="1">
      <c r="A110" s="114"/>
      <c r="B110" s="122"/>
      <c r="C110" s="123"/>
      <c r="D110" s="26">
        <f t="shared" si="63"/>
        <v>-1460</v>
      </c>
      <c r="E110" s="117"/>
      <c r="F110" s="117"/>
      <c r="G110" s="19">
        <f t="shared" si="64"/>
        <v>-1460</v>
      </c>
      <c r="H110" s="106"/>
      <c r="I110" s="107"/>
      <c r="J110" s="26">
        <f t="shared" si="65"/>
        <v>-1460</v>
      </c>
      <c r="K110" s="117"/>
      <c r="L110" s="117"/>
      <c r="M110" s="38">
        <f t="shared" si="66"/>
        <v>-1460</v>
      </c>
      <c r="N110" s="106"/>
      <c r="O110" s="107"/>
      <c r="P110" s="26">
        <f t="shared" si="67"/>
        <v>-1460</v>
      </c>
      <c r="Q110" s="117"/>
      <c r="R110" s="117"/>
      <c r="S110" s="38">
        <f t="shared" si="68"/>
        <v>-1460</v>
      </c>
      <c r="T110" s="106"/>
      <c r="U110" s="116"/>
      <c r="V110" s="20">
        <f t="shared" si="69"/>
        <v>-1460</v>
      </c>
      <c r="W110" s="143"/>
      <c r="X110" s="4"/>
      <c r="Y110" s="4"/>
      <c r="Z110" s="4"/>
    </row>
    <row r="111" spans="1:26" ht="15.75" customHeight="1">
      <c r="A111" s="114"/>
      <c r="B111" s="122"/>
      <c r="C111" s="123"/>
      <c r="D111" s="26">
        <f t="shared" si="63"/>
        <v>-1460</v>
      </c>
      <c r="E111" s="117"/>
      <c r="F111" s="117"/>
      <c r="G111" s="19">
        <f t="shared" si="64"/>
        <v>-1460</v>
      </c>
      <c r="H111" s="106"/>
      <c r="I111" s="107"/>
      <c r="J111" s="26">
        <f t="shared" si="65"/>
        <v>-1460</v>
      </c>
      <c r="K111" s="117"/>
      <c r="L111" s="117"/>
      <c r="M111" s="38">
        <f t="shared" si="66"/>
        <v>-1460</v>
      </c>
      <c r="N111" s="106"/>
      <c r="O111" s="107"/>
      <c r="P111" s="26">
        <f t="shared" si="67"/>
        <v>-1460</v>
      </c>
      <c r="Q111" s="117"/>
      <c r="R111" s="117"/>
      <c r="S111" s="38">
        <f t="shared" si="68"/>
        <v>-1460</v>
      </c>
      <c r="T111" s="106"/>
      <c r="U111" s="116"/>
      <c r="V111" s="20">
        <f t="shared" si="69"/>
        <v>-1460</v>
      </c>
      <c r="W111" s="143"/>
      <c r="X111" s="4"/>
      <c r="Y111" s="4"/>
      <c r="Z111" s="4"/>
    </row>
    <row r="112" spans="1:26" ht="15.75" customHeight="1">
      <c r="A112" s="114"/>
      <c r="B112" s="122"/>
      <c r="C112" s="123"/>
      <c r="D112" s="26">
        <f t="shared" si="63"/>
        <v>-1460</v>
      </c>
      <c r="E112" s="117"/>
      <c r="F112" s="117"/>
      <c r="G112" s="19">
        <f t="shared" si="64"/>
        <v>-1460</v>
      </c>
      <c r="H112" s="106"/>
      <c r="I112" s="107"/>
      <c r="J112" s="26">
        <f t="shared" si="65"/>
        <v>-1460</v>
      </c>
      <c r="K112" s="117"/>
      <c r="L112" s="117"/>
      <c r="M112" s="38">
        <f t="shared" si="66"/>
        <v>-1460</v>
      </c>
      <c r="N112" s="122"/>
      <c r="O112" s="123"/>
      <c r="P112" s="26">
        <f t="shared" si="67"/>
        <v>-1460</v>
      </c>
      <c r="Q112" s="117"/>
      <c r="R112" s="117"/>
      <c r="S112" s="38">
        <f t="shared" si="68"/>
        <v>-1460</v>
      </c>
      <c r="T112" s="106"/>
      <c r="U112" s="116"/>
      <c r="V112" s="20">
        <f t="shared" si="69"/>
        <v>-1460</v>
      </c>
      <c r="W112" s="143"/>
      <c r="X112" s="4"/>
      <c r="Y112" s="4"/>
      <c r="Z112" s="4"/>
    </row>
    <row r="113" spans="1:23" ht="15.75" customHeight="1">
      <c r="A113" s="114"/>
      <c r="B113" s="122"/>
      <c r="C113" s="123"/>
      <c r="D113" s="26">
        <f t="shared" si="63"/>
        <v>-1460</v>
      </c>
      <c r="E113" s="117"/>
      <c r="F113" s="117"/>
      <c r="G113" s="19">
        <f t="shared" si="64"/>
        <v>-1460</v>
      </c>
      <c r="H113" s="106"/>
      <c r="I113" s="107"/>
      <c r="J113" s="26">
        <f t="shared" si="65"/>
        <v>-1460</v>
      </c>
      <c r="K113" s="117"/>
      <c r="L113" s="117"/>
      <c r="M113" s="38">
        <f t="shared" si="66"/>
        <v>-1460</v>
      </c>
      <c r="N113" s="122"/>
      <c r="O113" s="123"/>
      <c r="P113" s="26">
        <f t="shared" si="67"/>
        <v>-1460</v>
      </c>
      <c r="Q113" s="117"/>
      <c r="R113" s="117"/>
      <c r="S113" s="38">
        <f t="shared" si="68"/>
        <v>-1460</v>
      </c>
      <c r="T113" s="122"/>
      <c r="U113" s="124"/>
      <c r="V113" s="20">
        <f t="shared" si="69"/>
        <v>-1460</v>
      </c>
      <c r="W113" s="143"/>
    </row>
    <row r="114" spans="1:23" ht="15.75" customHeight="1">
      <c r="A114" s="114"/>
      <c r="B114" s="122"/>
      <c r="C114" s="123"/>
      <c r="D114" s="39">
        <f t="shared" si="63"/>
        <v>-1460</v>
      </c>
      <c r="E114" s="128"/>
      <c r="F114" s="128"/>
      <c r="G114" s="29">
        <f t="shared" si="64"/>
        <v>-1460</v>
      </c>
      <c r="H114" s="124"/>
      <c r="I114" s="123"/>
      <c r="J114" s="39">
        <f t="shared" si="65"/>
        <v>-1460</v>
      </c>
      <c r="K114" s="128"/>
      <c r="L114" s="128"/>
      <c r="M114" s="40">
        <f t="shared" si="66"/>
        <v>-1460</v>
      </c>
      <c r="N114" s="122"/>
      <c r="O114" s="123"/>
      <c r="P114" s="39">
        <f t="shared" si="67"/>
        <v>-1460</v>
      </c>
      <c r="Q114" s="128"/>
      <c r="R114" s="128"/>
      <c r="S114" s="40">
        <f t="shared" si="68"/>
        <v>-1460</v>
      </c>
      <c r="T114" s="122"/>
      <c r="U114" s="123"/>
      <c r="V114" s="49">
        <f t="shared" si="69"/>
        <v>-1460</v>
      </c>
      <c r="W114" s="143"/>
    </row>
    <row r="115" spans="1:23" ht="15.75" customHeight="1">
      <c r="A115" s="87"/>
      <c r="B115" s="77" t="str">
        <f ca="1">IFERROR(__xludf.DUMMYFUNCTION("DATE(VALUE(LEFT($B$2,4)),VALUE(MID($B$2,6,2)),VALUE(RIGHT($B$2,2)))
+ (VALUE(REGEXEXTRACT(INDIRECT(""A""&amp;ROW()+1),""\d+""))-1)*7
+ INT((COLUMN()-COLUMN($B115))/3)
"),"#VALUE!")</f>
        <v>#VALUE!</v>
      </c>
      <c r="C115" s="81"/>
      <c r="D115" s="82"/>
      <c r="E115" s="77" t="str">
        <f ca="1">IFERROR(__xludf.DUMMYFUNCTION("DATE(VALUE(LEFT($B$2,4)),VALUE(MID($B$2,6,2)),VALUE(RIGHT($B$2,2)))
+ (VALUE(REGEXEXTRACT(INDIRECT(""A""&amp;ROW()+1),""\d+""))-1)*7
+ INT((COLUMN()-COLUMN($B115))/3)
"),"#VALUE!")</f>
        <v>#VALUE!</v>
      </c>
      <c r="F115" s="81"/>
      <c r="G115" s="82"/>
      <c r="H115" s="77" t="str">
        <f ca="1">IFERROR(__xludf.DUMMYFUNCTION("DATE(VALUE(LEFT($B$2,4)),VALUE(MID($B$2,6,2)),VALUE(RIGHT($B$2,2)))
+ (VALUE(REGEXEXTRACT(INDIRECT(""A""&amp;ROW()+1),""\d+""))-1)*7
+ INT((COLUMN()-COLUMN($B115))/3)
"),"#VALUE!")</f>
        <v>#VALUE!</v>
      </c>
      <c r="I115" s="81"/>
      <c r="J115" s="82"/>
      <c r="K115" s="77" t="str">
        <f ca="1">IFERROR(__xludf.DUMMYFUNCTION("DATE(VALUE(LEFT($B$2,4)),VALUE(MID($B$2,6,2)),VALUE(RIGHT($B$2,2)))
+ (VALUE(REGEXEXTRACT(INDIRECT(""A""&amp;ROW()+1),""\d+""))-1)*7
+ INT((COLUMN()-COLUMN($B115))/3)
"),"#VALUE!")</f>
        <v>#VALUE!</v>
      </c>
      <c r="L115" s="81"/>
      <c r="M115" s="82"/>
      <c r="N115" s="77" t="str">
        <f ca="1">IFERROR(__xludf.DUMMYFUNCTION("DATE(VALUE(LEFT($B$2,4)),VALUE(MID($B$2,6,2)),VALUE(RIGHT($B$2,2)))
+ (VALUE(REGEXEXTRACT(INDIRECT(""A""&amp;ROW()+1),""\d+""))-1)*7
+ INT((COLUMN()-COLUMN($B115))/3)
"),"#VALUE!")</f>
        <v>#VALUE!</v>
      </c>
      <c r="O115" s="81"/>
      <c r="P115" s="82"/>
      <c r="Q115" s="77" t="str">
        <f ca="1">IFERROR(__xludf.DUMMYFUNCTION("DATE(VALUE(LEFT($B$2,4)),VALUE(MID($B$2,6,2)),VALUE(RIGHT($B$2,2)))
+ (VALUE(REGEXEXTRACT(INDIRECT(""A""&amp;ROW()+1),""\d+""))-1)*7
+ INT((COLUMN()-COLUMN($B115))/3)
"),"#VALUE!")</f>
        <v>#VALUE!</v>
      </c>
      <c r="R115" s="81"/>
      <c r="S115" s="82"/>
      <c r="T115" s="77" t="str">
        <f ca="1">IFERROR(__xludf.DUMMYFUNCTION("DATE(VALUE(LEFT($B$2,4)),VALUE(MID($B$2,6,2)),VALUE(RIGHT($B$2,2)))
+ (VALUE(REGEXEXTRACT(INDIRECT(""A""&amp;ROW()+1),""\d+""))-1)*7
+ INT((COLUMN()-COLUMN($B115))/3)
"),"#VALUE!")</f>
        <v>#VALUE!</v>
      </c>
      <c r="U115" s="81"/>
      <c r="V115" s="82"/>
      <c r="W115" s="52" t="s">
        <v>20</v>
      </c>
    </row>
    <row r="116" spans="1:23" ht="15.75" customHeight="1">
      <c r="A116" s="47" t="s">
        <v>146</v>
      </c>
      <c r="B116" s="109"/>
      <c r="C116" s="109"/>
      <c r="D116" s="42">
        <f>V114+C116</f>
        <v>-1460</v>
      </c>
      <c r="E116" s="112"/>
      <c r="F116" s="111"/>
      <c r="G116" s="36">
        <f>D126+F116</f>
        <v>-1460</v>
      </c>
      <c r="H116" s="132"/>
      <c r="I116" s="109"/>
      <c r="J116" s="42">
        <f>G126+I116</f>
        <v>-1460</v>
      </c>
      <c r="K116" s="112"/>
      <c r="L116" s="111"/>
      <c r="M116" s="18">
        <f>J126+L116</f>
        <v>-1460</v>
      </c>
      <c r="N116" s="113"/>
      <c r="O116" s="109"/>
      <c r="P116" s="35">
        <f>M126+O116</f>
        <v>-1460</v>
      </c>
      <c r="Q116" s="112"/>
      <c r="R116" s="111"/>
      <c r="S116" s="18">
        <f>P126+R116</f>
        <v>-1460</v>
      </c>
      <c r="T116" s="113"/>
      <c r="U116" s="109"/>
      <c r="V116" s="50">
        <f>S126+U116</f>
        <v>-1460</v>
      </c>
      <c r="W116" s="172"/>
    </row>
    <row r="117" spans="1:23" ht="15.75" customHeight="1">
      <c r="A117" s="114"/>
      <c r="B117" s="117"/>
      <c r="C117" s="117"/>
      <c r="D117" s="19">
        <f t="shared" ref="D117:D126" si="70">D116+C117</f>
        <v>-1460</v>
      </c>
      <c r="E117" s="106"/>
      <c r="F117" s="107"/>
      <c r="G117" s="26">
        <f t="shared" ref="G117:G126" si="71">G116+F117</f>
        <v>-1460</v>
      </c>
      <c r="H117" s="133"/>
      <c r="I117" s="117"/>
      <c r="J117" s="19">
        <f t="shared" ref="J117:J126" si="72">J116+I117</f>
        <v>-1460</v>
      </c>
      <c r="K117" s="106"/>
      <c r="L117" s="107"/>
      <c r="M117" s="26">
        <f t="shared" ref="M117:M126" si="73">M116+L117</f>
        <v>-1460</v>
      </c>
      <c r="N117" s="118"/>
      <c r="O117" s="117"/>
      <c r="P117" s="38">
        <f t="shared" ref="P117:P126" si="74">P116+O117</f>
        <v>-1460</v>
      </c>
      <c r="Q117" s="106"/>
      <c r="R117" s="107"/>
      <c r="S117" s="26">
        <f t="shared" ref="S117:S126" si="75">S116+R117</f>
        <v>-1460</v>
      </c>
      <c r="T117" s="136"/>
      <c r="U117" s="136"/>
      <c r="V117" s="45">
        <f t="shared" ref="V117:V126" si="76">V116+U117</f>
        <v>-1460</v>
      </c>
      <c r="W117" s="143"/>
    </row>
    <row r="118" spans="1:23" ht="15.75" customHeight="1">
      <c r="A118" s="114"/>
      <c r="B118" s="117"/>
      <c r="C118" s="117"/>
      <c r="D118" s="19">
        <f t="shared" si="70"/>
        <v>-1460</v>
      </c>
      <c r="E118" s="106"/>
      <c r="F118" s="107"/>
      <c r="G118" s="26">
        <f t="shared" si="71"/>
        <v>-1460</v>
      </c>
      <c r="H118" s="133"/>
      <c r="I118" s="117"/>
      <c r="J118" s="19">
        <f t="shared" si="72"/>
        <v>-1460</v>
      </c>
      <c r="K118" s="106"/>
      <c r="L118" s="107"/>
      <c r="M118" s="26">
        <f t="shared" si="73"/>
        <v>-1460</v>
      </c>
      <c r="N118" s="117"/>
      <c r="O118" s="117"/>
      <c r="P118" s="38">
        <f t="shared" si="74"/>
        <v>-1460</v>
      </c>
      <c r="Q118" s="106"/>
      <c r="R118" s="107"/>
      <c r="S118" s="26">
        <f t="shared" si="75"/>
        <v>-1460</v>
      </c>
      <c r="T118" s="136"/>
      <c r="U118" s="136"/>
      <c r="V118" s="45">
        <f t="shared" si="76"/>
        <v>-1460</v>
      </c>
      <c r="W118" s="143"/>
    </row>
    <row r="119" spans="1:23" ht="15.75" customHeight="1">
      <c r="A119" s="114"/>
      <c r="B119" s="117"/>
      <c r="C119" s="117"/>
      <c r="D119" s="19">
        <f t="shared" si="70"/>
        <v>-1460</v>
      </c>
      <c r="E119" s="106"/>
      <c r="F119" s="107"/>
      <c r="G119" s="26">
        <f t="shared" si="71"/>
        <v>-1460</v>
      </c>
      <c r="H119" s="133"/>
      <c r="I119" s="117"/>
      <c r="J119" s="19">
        <f t="shared" si="72"/>
        <v>-1460</v>
      </c>
      <c r="K119" s="106"/>
      <c r="L119" s="107"/>
      <c r="M119" s="26">
        <f t="shared" si="73"/>
        <v>-1460</v>
      </c>
      <c r="N119" s="117"/>
      <c r="O119" s="117"/>
      <c r="P119" s="38">
        <f t="shared" si="74"/>
        <v>-1460</v>
      </c>
      <c r="Q119" s="106"/>
      <c r="R119" s="107"/>
      <c r="S119" s="26">
        <f t="shared" si="75"/>
        <v>-1460</v>
      </c>
      <c r="T119" s="117"/>
      <c r="U119" s="117"/>
      <c r="V119" s="45">
        <f t="shared" si="76"/>
        <v>-1460</v>
      </c>
      <c r="W119" s="143"/>
    </row>
    <row r="120" spans="1:23" ht="15.75" customHeight="1">
      <c r="A120" s="114"/>
      <c r="B120" s="117"/>
      <c r="C120" s="117"/>
      <c r="D120" s="19">
        <f t="shared" si="70"/>
        <v>-1460</v>
      </c>
      <c r="E120" s="106"/>
      <c r="F120" s="107"/>
      <c r="G120" s="26">
        <f t="shared" si="71"/>
        <v>-1460</v>
      </c>
      <c r="H120" s="133"/>
      <c r="I120" s="117"/>
      <c r="J120" s="19">
        <f t="shared" si="72"/>
        <v>-1460</v>
      </c>
      <c r="K120" s="106"/>
      <c r="L120" s="107"/>
      <c r="M120" s="26">
        <f t="shared" si="73"/>
        <v>-1460</v>
      </c>
      <c r="N120" s="117"/>
      <c r="O120" s="117"/>
      <c r="P120" s="38">
        <f t="shared" si="74"/>
        <v>-1460</v>
      </c>
      <c r="Q120" s="106"/>
      <c r="R120" s="107"/>
      <c r="S120" s="26">
        <f t="shared" si="75"/>
        <v>-1460</v>
      </c>
      <c r="T120" s="117"/>
      <c r="U120" s="117"/>
      <c r="V120" s="45">
        <f t="shared" si="76"/>
        <v>-1460</v>
      </c>
      <c r="W120" s="143"/>
    </row>
    <row r="121" spans="1:23" ht="15.75" customHeight="1">
      <c r="A121" s="114"/>
      <c r="B121" s="118"/>
      <c r="C121" s="117"/>
      <c r="D121" s="19">
        <f t="shared" si="70"/>
        <v>-1460</v>
      </c>
      <c r="E121" s="106"/>
      <c r="F121" s="107"/>
      <c r="G121" s="26">
        <f t="shared" si="71"/>
        <v>-1460</v>
      </c>
      <c r="H121" s="133"/>
      <c r="I121" s="117"/>
      <c r="J121" s="19">
        <f t="shared" si="72"/>
        <v>-1460</v>
      </c>
      <c r="K121" s="106"/>
      <c r="L121" s="107"/>
      <c r="M121" s="26">
        <f t="shared" si="73"/>
        <v>-1460</v>
      </c>
      <c r="N121" s="117"/>
      <c r="O121" s="117"/>
      <c r="P121" s="38">
        <f t="shared" si="74"/>
        <v>-1460</v>
      </c>
      <c r="Q121" s="106"/>
      <c r="R121" s="107"/>
      <c r="S121" s="26">
        <f t="shared" si="75"/>
        <v>-1460</v>
      </c>
      <c r="T121" s="117"/>
      <c r="U121" s="117"/>
      <c r="V121" s="45">
        <f t="shared" si="76"/>
        <v>-1460</v>
      </c>
      <c r="W121" s="143"/>
    </row>
    <row r="122" spans="1:23" ht="15.75" customHeight="1">
      <c r="A122" s="114"/>
      <c r="B122" s="117"/>
      <c r="C122" s="117"/>
      <c r="D122" s="19">
        <f t="shared" si="70"/>
        <v>-1460</v>
      </c>
      <c r="E122" s="106"/>
      <c r="F122" s="107"/>
      <c r="G122" s="26">
        <f t="shared" si="71"/>
        <v>-1460</v>
      </c>
      <c r="H122" s="133"/>
      <c r="I122" s="117"/>
      <c r="J122" s="19">
        <f t="shared" si="72"/>
        <v>-1460</v>
      </c>
      <c r="K122" s="106"/>
      <c r="L122" s="107"/>
      <c r="M122" s="26">
        <f t="shared" si="73"/>
        <v>-1460</v>
      </c>
      <c r="N122" s="117"/>
      <c r="O122" s="117"/>
      <c r="P122" s="38">
        <f t="shared" si="74"/>
        <v>-1460</v>
      </c>
      <c r="Q122" s="106"/>
      <c r="R122" s="107"/>
      <c r="S122" s="26">
        <f t="shared" si="75"/>
        <v>-1460</v>
      </c>
      <c r="T122" s="117"/>
      <c r="U122" s="117"/>
      <c r="V122" s="45">
        <f t="shared" si="76"/>
        <v>-1460</v>
      </c>
      <c r="W122" s="143"/>
    </row>
    <row r="123" spans="1:23" ht="15.75" customHeight="1">
      <c r="A123" s="114"/>
      <c r="B123" s="117"/>
      <c r="C123" s="117"/>
      <c r="D123" s="19">
        <f t="shared" si="70"/>
        <v>-1460</v>
      </c>
      <c r="E123" s="106"/>
      <c r="F123" s="107"/>
      <c r="G123" s="26">
        <f t="shared" si="71"/>
        <v>-1460</v>
      </c>
      <c r="H123" s="133"/>
      <c r="I123" s="117"/>
      <c r="J123" s="19">
        <f t="shared" si="72"/>
        <v>-1460</v>
      </c>
      <c r="K123" s="106"/>
      <c r="L123" s="107"/>
      <c r="M123" s="26">
        <f t="shared" si="73"/>
        <v>-1460</v>
      </c>
      <c r="N123" s="117"/>
      <c r="O123" s="117"/>
      <c r="P123" s="38">
        <f t="shared" si="74"/>
        <v>-1460</v>
      </c>
      <c r="Q123" s="106"/>
      <c r="R123" s="107"/>
      <c r="S123" s="26">
        <f t="shared" si="75"/>
        <v>-1460</v>
      </c>
      <c r="T123" s="117"/>
      <c r="U123" s="117"/>
      <c r="V123" s="45">
        <f t="shared" si="76"/>
        <v>-1460</v>
      </c>
      <c r="W123" s="143"/>
    </row>
    <row r="124" spans="1:23" ht="15.75" customHeight="1">
      <c r="A124" s="114"/>
      <c r="B124" s="117"/>
      <c r="C124" s="117"/>
      <c r="D124" s="19">
        <f t="shared" si="70"/>
        <v>-1460</v>
      </c>
      <c r="E124" s="106"/>
      <c r="F124" s="107"/>
      <c r="G124" s="26">
        <f t="shared" si="71"/>
        <v>-1460</v>
      </c>
      <c r="H124" s="133"/>
      <c r="I124" s="117"/>
      <c r="J124" s="19">
        <f t="shared" si="72"/>
        <v>-1460</v>
      </c>
      <c r="K124" s="106"/>
      <c r="L124" s="107"/>
      <c r="M124" s="26">
        <f t="shared" si="73"/>
        <v>-1460</v>
      </c>
      <c r="N124" s="117"/>
      <c r="O124" s="117"/>
      <c r="P124" s="38">
        <f t="shared" si="74"/>
        <v>-1460</v>
      </c>
      <c r="Q124" s="106"/>
      <c r="R124" s="107"/>
      <c r="S124" s="26">
        <f t="shared" si="75"/>
        <v>-1460</v>
      </c>
      <c r="T124" s="136"/>
      <c r="U124" s="136"/>
      <c r="V124" s="45">
        <f t="shared" si="76"/>
        <v>-1460</v>
      </c>
      <c r="W124" s="143"/>
    </row>
    <row r="125" spans="1:23" ht="15.75" customHeight="1">
      <c r="A125" s="114"/>
      <c r="B125" s="117"/>
      <c r="C125" s="117"/>
      <c r="D125" s="19">
        <f t="shared" si="70"/>
        <v>-1460</v>
      </c>
      <c r="E125" s="122"/>
      <c r="F125" s="123"/>
      <c r="G125" s="26">
        <f t="shared" si="71"/>
        <v>-1460</v>
      </c>
      <c r="H125" s="133"/>
      <c r="I125" s="117"/>
      <c r="J125" s="19">
        <f t="shared" si="72"/>
        <v>-1460</v>
      </c>
      <c r="K125" s="122"/>
      <c r="L125" s="123"/>
      <c r="M125" s="26">
        <f t="shared" si="73"/>
        <v>-1460</v>
      </c>
      <c r="N125" s="117"/>
      <c r="O125" s="117"/>
      <c r="P125" s="38">
        <f t="shared" si="74"/>
        <v>-1460</v>
      </c>
      <c r="Q125" s="122"/>
      <c r="R125" s="123"/>
      <c r="S125" s="26">
        <f t="shared" si="75"/>
        <v>-1460</v>
      </c>
      <c r="T125" s="136"/>
      <c r="U125" s="136"/>
      <c r="V125" s="45">
        <f t="shared" si="76"/>
        <v>-1460</v>
      </c>
      <c r="W125" s="143"/>
    </row>
    <row r="126" spans="1:23" ht="15.75" customHeight="1">
      <c r="A126" s="114"/>
      <c r="B126" s="128"/>
      <c r="C126" s="128"/>
      <c r="D126" s="29">
        <f t="shared" si="70"/>
        <v>-1460</v>
      </c>
      <c r="E126" s="122"/>
      <c r="F126" s="123"/>
      <c r="G126" s="39">
        <f t="shared" si="71"/>
        <v>-1460</v>
      </c>
      <c r="H126" s="140"/>
      <c r="I126" s="128"/>
      <c r="J126" s="29">
        <f t="shared" si="72"/>
        <v>-1460</v>
      </c>
      <c r="K126" s="122"/>
      <c r="L126" s="123"/>
      <c r="M126" s="39">
        <f t="shared" si="73"/>
        <v>-1460</v>
      </c>
      <c r="N126" s="128"/>
      <c r="O126" s="128"/>
      <c r="P126" s="40">
        <f t="shared" si="74"/>
        <v>-1460</v>
      </c>
      <c r="Q126" s="122"/>
      <c r="R126" s="123"/>
      <c r="S126" s="39">
        <f t="shared" si="75"/>
        <v>-1460</v>
      </c>
      <c r="T126" s="141"/>
      <c r="U126" s="141"/>
      <c r="V126" s="46">
        <f t="shared" si="76"/>
        <v>-1460</v>
      </c>
      <c r="W126" s="143"/>
    </row>
    <row r="127" spans="1:23" ht="15.75" customHeight="1">
      <c r="A127" s="87"/>
      <c r="B127" s="77" t="str">
        <f ca="1">IFERROR(__xludf.DUMMYFUNCTION("DATE(VALUE(LEFT($B$2,4)),VALUE(MID($B$2,6,2)),VALUE(RIGHT($B$2,2)))
+ (VALUE(REGEXEXTRACT(INDIRECT(""A""&amp;ROW()+1),""\d+""))-1)*7
+ INT((COLUMN()-COLUMN($B127))/3)
"),"#VALUE!")</f>
        <v>#VALUE!</v>
      </c>
      <c r="C127" s="81"/>
      <c r="D127" s="82"/>
      <c r="E127" s="77" t="str">
        <f ca="1">IFERROR(__xludf.DUMMYFUNCTION("DATE(VALUE(LEFT($B$2,4)),VALUE(MID($B$2,6,2)),VALUE(RIGHT($B$2,2)))
+ (VALUE(REGEXEXTRACT(INDIRECT(""A""&amp;ROW()+1),""\d+""))-1)*7
+ INT((COLUMN()-COLUMN($B127))/3)
"),"#VALUE!")</f>
        <v>#VALUE!</v>
      </c>
      <c r="F127" s="81"/>
      <c r="G127" s="82"/>
      <c r="H127" s="77" t="str">
        <f ca="1">IFERROR(__xludf.DUMMYFUNCTION("DATE(VALUE(LEFT($B$2,4)),VALUE(MID($B$2,6,2)),VALUE(RIGHT($B$2,2)))
+ (VALUE(REGEXEXTRACT(INDIRECT(""A""&amp;ROW()+1),""\d+""))-1)*7
+ INT((COLUMN()-COLUMN($B127))/3)
"),"#VALUE!")</f>
        <v>#VALUE!</v>
      </c>
      <c r="I127" s="81"/>
      <c r="J127" s="82"/>
      <c r="K127" s="77" t="str">
        <f ca="1">IFERROR(__xludf.DUMMYFUNCTION("DATE(VALUE(LEFT($B$2,4)),VALUE(MID($B$2,6,2)),VALUE(RIGHT($B$2,2)))
+ (VALUE(REGEXEXTRACT(INDIRECT(""A""&amp;ROW()+1),""\d+""))-1)*7
+ INT((COLUMN()-COLUMN($B127))/3)
"),"#VALUE!")</f>
        <v>#VALUE!</v>
      </c>
      <c r="L127" s="81"/>
      <c r="M127" s="82"/>
      <c r="N127" s="77" t="str">
        <f ca="1">IFERROR(__xludf.DUMMYFUNCTION("DATE(VALUE(LEFT($B$2,4)),VALUE(MID($B$2,6,2)),VALUE(RIGHT($B$2,2)))
+ (VALUE(REGEXEXTRACT(INDIRECT(""A""&amp;ROW()+1),""\d+""))-1)*7
+ INT((COLUMN()-COLUMN($B127))/3)
"),"#VALUE!")</f>
        <v>#VALUE!</v>
      </c>
      <c r="O127" s="81"/>
      <c r="P127" s="82"/>
      <c r="Q127" s="77" t="str">
        <f ca="1">IFERROR(__xludf.DUMMYFUNCTION("DATE(VALUE(LEFT($B$2,4)),VALUE(MID($B$2,6,2)),VALUE(RIGHT($B$2,2)))
+ (VALUE(REGEXEXTRACT(INDIRECT(""A""&amp;ROW()+1),""\d+""))-1)*7
+ INT((COLUMN()-COLUMN($B127))/3)
"),"#VALUE!")</f>
        <v>#VALUE!</v>
      </c>
      <c r="R127" s="81"/>
      <c r="S127" s="82"/>
      <c r="T127" s="77" t="str">
        <f ca="1">IFERROR(__xludf.DUMMYFUNCTION("DATE(VALUE(LEFT($B$2,4)),VALUE(MID($B$2,6,2)),VALUE(RIGHT($B$2,2)))
+ (VALUE(REGEXEXTRACT(INDIRECT(""A""&amp;ROW()+1),""\d+""))-1)*7
+ INT((COLUMN()-COLUMN($B127))/3)
"),"#VALUE!")</f>
        <v>#VALUE!</v>
      </c>
      <c r="U127" s="81"/>
      <c r="V127" s="82"/>
      <c r="W127" s="143"/>
    </row>
    <row r="128" spans="1:23" ht="15.75" customHeight="1">
      <c r="A128" s="51" t="s">
        <v>147</v>
      </c>
      <c r="B128" s="112"/>
      <c r="C128" s="111"/>
      <c r="D128" s="17">
        <f>V126+C128</f>
        <v>-1460</v>
      </c>
      <c r="E128" s="109"/>
      <c r="F128" s="109"/>
      <c r="G128" s="54">
        <f>D138+F128</f>
        <v>-1460</v>
      </c>
      <c r="H128" s="110"/>
      <c r="I128" s="111"/>
      <c r="J128" s="17">
        <f>G138+I128</f>
        <v>-1460</v>
      </c>
      <c r="K128" s="109"/>
      <c r="L128" s="109"/>
      <c r="M128" s="35">
        <f>J138+L128</f>
        <v>-1460</v>
      </c>
      <c r="N128" s="112"/>
      <c r="O128" s="111"/>
      <c r="P128" s="17">
        <f>M138+O128</f>
        <v>-1460</v>
      </c>
      <c r="Q128" s="109"/>
      <c r="R128" s="109"/>
      <c r="S128" s="35">
        <f>P138+R128</f>
        <v>-1460</v>
      </c>
      <c r="T128" s="112"/>
      <c r="U128" s="111"/>
      <c r="V128" s="48">
        <f>S138+U128</f>
        <v>-1460</v>
      </c>
      <c r="W128" s="143"/>
    </row>
    <row r="129" spans="1:23" ht="15.75" customHeight="1">
      <c r="A129" s="114"/>
      <c r="B129" s="106"/>
      <c r="C129" s="107"/>
      <c r="D129" s="26">
        <f t="shared" ref="D129:D138" si="77">D128+C129</f>
        <v>-1460</v>
      </c>
      <c r="E129" s="117"/>
      <c r="F129" s="117"/>
      <c r="G129" s="19">
        <f t="shared" ref="G129:G138" si="78">G128+F129</f>
        <v>-1460</v>
      </c>
      <c r="H129" s="106"/>
      <c r="I129" s="107"/>
      <c r="J129" s="26">
        <f t="shared" ref="J129:J138" si="79">J128+I129</f>
        <v>-1460</v>
      </c>
      <c r="K129" s="117"/>
      <c r="L129" s="117"/>
      <c r="M129" s="38">
        <f t="shared" ref="M129:M138" si="80">M128+L129</f>
        <v>-1460</v>
      </c>
      <c r="N129" s="106"/>
      <c r="O129" s="107"/>
      <c r="P129" s="26">
        <f t="shared" ref="P129:P138" si="81">P128+O129</f>
        <v>-1460</v>
      </c>
      <c r="Q129" s="117"/>
      <c r="R129" s="117"/>
      <c r="S129" s="38">
        <f t="shared" ref="S129:S138" si="82">S128+R129</f>
        <v>-1460</v>
      </c>
      <c r="T129" s="106"/>
      <c r="U129" s="107"/>
      <c r="V129" s="20">
        <f t="shared" ref="V129:V138" si="83">V128+U129</f>
        <v>-1460</v>
      </c>
      <c r="W129" s="143"/>
    </row>
    <row r="130" spans="1:23" ht="15.75" customHeight="1">
      <c r="A130" s="114"/>
      <c r="B130" s="106"/>
      <c r="C130" s="107"/>
      <c r="D130" s="26">
        <f t="shared" si="77"/>
        <v>-1460</v>
      </c>
      <c r="E130" s="117"/>
      <c r="F130" s="117"/>
      <c r="G130" s="19">
        <f t="shared" si="78"/>
        <v>-1460</v>
      </c>
      <c r="H130" s="106"/>
      <c r="I130" s="107"/>
      <c r="J130" s="26">
        <f t="shared" si="79"/>
        <v>-1460</v>
      </c>
      <c r="K130" s="117"/>
      <c r="L130" s="117"/>
      <c r="M130" s="38">
        <f t="shared" si="80"/>
        <v>-1460</v>
      </c>
      <c r="N130" s="106"/>
      <c r="O130" s="107"/>
      <c r="P130" s="26">
        <f t="shared" si="81"/>
        <v>-1460</v>
      </c>
      <c r="Q130" s="117"/>
      <c r="R130" s="117"/>
      <c r="S130" s="38">
        <f t="shared" si="82"/>
        <v>-1460</v>
      </c>
      <c r="T130" s="106"/>
      <c r="U130" s="116"/>
      <c r="V130" s="20">
        <f t="shared" si="83"/>
        <v>-1460</v>
      </c>
      <c r="W130" s="143"/>
    </row>
    <row r="131" spans="1:23" ht="15.75" customHeight="1">
      <c r="A131" s="114"/>
      <c r="B131" s="106"/>
      <c r="C131" s="107"/>
      <c r="D131" s="26">
        <f t="shared" si="77"/>
        <v>-1460</v>
      </c>
      <c r="E131" s="117"/>
      <c r="F131" s="117"/>
      <c r="G131" s="19">
        <f t="shared" si="78"/>
        <v>-1460</v>
      </c>
      <c r="H131" s="106"/>
      <c r="I131" s="107"/>
      <c r="J131" s="26">
        <f t="shared" si="79"/>
        <v>-1460</v>
      </c>
      <c r="K131" s="117"/>
      <c r="L131" s="117"/>
      <c r="M131" s="38">
        <f t="shared" si="80"/>
        <v>-1460</v>
      </c>
      <c r="N131" s="106"/>
      <c r="O131" s="107"/>
      <c r="P131" s="26">
        <f t="shared" si="81"/>
        <v>-1460</v>
      </c>
      <c r="Q131" s="117"/>
      <c r="R131" s="117"/>
      <c r="S131" s="38">
        <f t="shared" si="82"/>
        <v>-1460</v>
      </c>
      <c r="T131" s="106"/>
      <c r="U131" s="116"/>
      <c r="V131" s="20">
        <f t="shared" si="83"/>
        <v>-1460</v>
      </c>
      <c r="W131" s="143"/>
    </row>
    <row r="132" spans="1:23" ht="15.75" customHeight="1">
      <c r="A132" s="114"/>
      <c r="B132" s="106"/>
      <c r="C132" s="107"/>
      <c r="D132" s="26">
        <f t="shared" si="77"/>
        <v>-1460</v>
      </c>
      <c r="E132" s="117"/>
      <c r="F132" s="117"/>
      <c r="G132" s="19">
        <f t="shared" si="78"/>
        <v>-1460</v>
      </c>
      <c r="H132" s="106"/>
      <c r="I132" s="107"/>
      <c r="J132" s="26">
        <f t="shared" si="79"/>
        <v>-1460</v>
      </c>
      <c r="K132" s="117"/>
      <c r="L132" s="117"/>
      <c r="M132" s="38">
        <f t="shared" si="80"/>
        <v>-1460</v>
      </c>
      <c r="N132" s="106"/>
      <c r="O132" s="107"/>
      <c r="P132" s="26">
        <f t="shared" si="81"/>
        <v>-1460</v>
      </c>
      <c r="Q132" s="117"/>
      <c r="R132" s="117"/>
      <c r="S132" s="38">
        <f t="shared" si="82"/>
        <v>-1460</v>
      </c>
      <c r="T132" s="106"/>
      <c r="U132" s="116"/>
      <c r="V132" s="20">
        <f t="shared" si="83"/>
        <v>-1460</v>
      </c>
      <c r="W132" s="143"/>
    </row>
    <row r="133" spans="1:23" ht="15.75" customHeight="1">
      <c r="A133" s="114"/>
      <c r="B133" s="106"/>
      <c r="C133" s="107"/>
      <c r="D133" s="26">
        <f t="shared" si="77"/>
        <v>-1460</v>
      </c>
      <c r="E133" s="117"/>
      <c r="F133" s="117"/>
      <c r="G133" s="19">
        <f t="shared" si="78"/>
        <v>-1460</v>
      </c>
      <c r="H133" s="106"/>
      <c r="I133" s="107"/>
      <c r="J133" s="26">
        <f t="shared" si="79"/>
        <v>-1460</v>
      </c>
      <c r="K133" s="117"/>
      <c r="L133" s="117"/>
      <c r="M133" s="38">
        <f t="shared" si="80"/>
        <v>-1460</v>
      </c>
      <c r="N133" s="106"/>
      <c r="O133" s="107"/>
      <c r="P133" s="26">
        <f t="shared" si="81"/>
        <v>-1460</v>
      </c>
      <c r="Q133" s="117"/>
      <c r="R133" s="117"/>
      <c r="S133" s="38">
        <f t="shared" si="82"/>
        <v>-1460</v>
      </c>
      <c r="T133" s="106"/>
      <c r="U133" s="116"/>
      <c r="V133" s="20">
        <f t="shared" si="83"/>
        <v>-1460</v>
      </c>
      <c r="W133" s="143"/>
    </row>
    <row r="134" spans="1:23" ht="15.75" customHeight="1">
      <c r="A134" s="114"/>
      <c r="B134" s="106"/>
      <c r="C134" s="107"/>
      <c r="D134" s="26">
        <f t="shared" si="77"/>
        <v>-1460</v>
      </c>
      <c r="E134" s="117"/>
      <c r="F134" s="117"/>
      <c r="G134" s="19">
        <f t="shared" si="78"/>
        <v>-1460</v>
      </c>
      <c r="H134" s="106"/>
      <c r="I134" s="107"/>
      <c r="J134" s="26">
        <f t="shared" si="79"/>
        <v>-1460</v>
      </c>
      <c r="K134" s="117"/>
      <c r="L134" s="117"/>
      <c r="M134" s="38">
        <f t="shared" si="80"/>
        <v>-1460</v>
      </c>
      <c r="N134" s="106"/>
      <c r="O134" s="107"/>
      <c r="P134" s="26">
        <f t="shared" si="81"/>
        <v>-1460</v>
      </c>
      <c r="Q134" s="117"/>
      <c r="R134" s="117"/>
      <c r="S134" s="38">
        <f t="shared" si="82"/>
        <v>-1460</v>
      </c>
      <c r="T134" s="106"/>
      <c r="U134" s="116"/>
      <c r="V134" s="20">
        <f t="shared" si="83"/>
        <v>-1460</v>
      </c>
      <c r="W134" s="143"/>
    </row>
    <row r="135" spans="1:23" ht="15.75" customHeight="1">
      <c r="A135" s="114"/>
      <c r="B135" s="106"/>
      <c r="C135" s="107"/>
      <c r="D135" s="26">
        <f t="shared" si="77"/>
        <v>-1460</v>
      </c>
      <c r="E135" s="117"/>
      <c r="F135" s="117"/>
      <c r="G135" s="19">
        <f t="shared" si="78"/>
        <v>-1460</v>
      </c>
      <c r="H135" s="106"/>
      <c r="I135" s="107"/>
      <c r="J135" s="26">
        <f t="shared" si="79"/>
        <v>-1460</v>
      </c>
      <c r="K135" s="117"/>
      <c r="L135" s="117"/>
      <c r="M135" s="38">
        <f t="shared" si="80"/>
        <v>-1460</v>
      </c>
      <c r="N135" s="106"/>
      <c r="O135" s="107"/>
      <c r="P135" s="26">
        <f t="shared" si="81"/>
        <v>-1460</v>
      </c>
      <c r="Q135" s="117"/>
      <c r="R135" s="117"/>
      <c r="S135" s="38">
        <f t="shared" si="82"/>
        <v>-1460</v>
      </c>
      <c r="T135" s="106"/>
      <c r="U135" s="116"/>
      <c r="V135" s="20">
        <f t="shared" si="83"/>
        <v>-1460</v>
      </c>
      <c r="W135" s="143"/>
    </row>
    <row r="136" spans="1:23" ht="15.75" customHeight="1">
      <c r="A136" s="114"/>
      <c r="B136" s="122"/>
      <c r="C136" s="123"/>
      <c r="D136" s="26">
        <f t="shared" si="77"/>
        <v>-1460</v>
      </c>
      <c r="E136" s="117"/>
      <c r="F136" s="117"/>
      <c r="G136" s="19">
        <f t="shared" si="78"/>
        <v>-1460</v>
      </c>
      <c r="H136" s="122"/>
      <c r="I136" s="123"/>
      <c r="J136" s="26">
        <f t="shared" si="79"/>
        <v>-1460</v>
      </c>
      <c r="K136" s="117"/>
      <c r="L136" s="117"/>
      <c r="M136" s="38">
        <f t="shared" si="80"/>
        <v>-1460</v>
      </c>
      <c r="N136" s="122"/>
      <c r="O136" s="123"/>
      <c r="P136" s="26">
        <f t="shared" si="81"/>
        <v>-1460</v>
      </c>
      <c r="Q136" s="117"/>
      <c r="R136" s="117"/>
      <c r="S136" s="38">
        <f t="shared" si="82"/>
        <v>-1460</v>
      </c>
      <c r="T136" s="106"/>
      <c r="U136" s="116"/>
      <c r="V136" s="20">
        <f t="shared" si="83"/>
        <v>-1460</v>
      </c>
      <c r="W136" s="143"/>
    </row>
    <row r="137" spans="1:23" ht="15.75" customHeight="1">
      <c r="A137" s="114"/>
      <c r="B137" s="122"/>
      <c r="C137" s="123"/>
      <c r="D137" s="26">
        <f t="shared" si="77"/>
        <v>-1460</v>
      </c>
      <c r="E137" s="117"/>
      <c r="F137" s="117"/>
      <c r="G137" s="19">
        <f t="shared" si="78"/>
        <v>-1460</v>
      </c>
      <c r="H137" s="122"/>
      <c r="I137" s="123"/>
      <c r="J137" s="26">
        <f t="shared" si="79"/>
        <v>-1460</v>
      </c>
      <c r="K137" s="117"/>
      <c r="L137" s="117"/>
      <c r="M137" s="38">
        <f t="shared" si="80"/>
        <v>-1460</v>
      </c>
      <c r="N137" s="122"/>
      <c r="O137" s="123"/>
      <c r="P137" s="26">
        <f t="shared" si="81"/>
        <v>-1460</v>
      </c>
      <c r="Q137" s="117"/>
      <c r="R137" s="117"/>
      <c r="S137" s="38">
        <f t="shared" si="82"/>
        <v>-1460</v>
      </c>
      <c r="T137" s="122"/>
      <c r="U137" s="124"/>
      <c r="V137" s="20">
        <f t="shared" si="83"/>
        <v>-1460</v>
      </c>
      <c r="W137" s="143"/>
    </row>
    <row r="138" spans="1:23" ht="15.75" customHeight="1">
      <c r="A138" s="114"/>
      <c r="B138" s="122"/>
      <c r="C138" s="123"/>
      <c r="D138" s="39">
        <f t="shared" si="77"/>
        <v>-1460</v>
      </c>
      <c r="E138" s="128"/>
      <c r="F138" s="128"/>
      <c r="G138" s="29">
        <f t="shared" si="78"/>
        <v>-1460</v>
      </c>
      <c r="H138" s="122"/>
      <c r="I138" s="123"/>
      <c r="J138" s="39">
        <f t="shared" si="79"/>
        <v>-1460</v>
      </c>
      <c r="K138" s="128"/>
      <c r="L138" s="128"/>
      <c r="M138" s="40">
        <f t="shared" si="80"/>
        <v>-1460</v>
      </c>
      <c r="N138" s="122"/>
      <c r="O138" s="123"/>
      <c r="P138" s="39">
        <f t="shared" si="81"/>
        <v>-1460</v>
      </c>
      <c r="Q138" s="128"/>
      <c r="R138" s="128"/>
      <c r="S138" s="40">
        <f t="shared" si="82"/>
        <v>-1460</v>
      </c>
      <c r="T138" s="122"/>
      <c r="U138" s="123"/>
      <c r="V138" s="49">
        <f t="shared" si="83"/>
        <v>-1460</v>
      </c>
      <c r="W138" s="143"/>
    </row>
    <row r="139" spans="1:23" ht="15.75" customHeight="1">
      <c r="A139" s="87"/>
      <c r="B139" s="77" t="str">
        <f ca="1">IFERROR(__xludf.DUMMYFUNCTION("DATE(VALUE(LEFT($B$2,4)),VALUE(MID($B$2,6,2)),VALUE(RIGHT($B$2,2)))
+ (VALUE(REGEXEXTRACT(INDIRECT(""A""&amp;ROW()+1),""\d+""))-1)*7
+ INT((COLUMN()-COLUMN($B139))/3)
"),"#VALUE!")</f>
        <v>#VALUE!</v>
      </c>
      <c r="C139" s="81"/>
      <c r="D139" s="82"/>
      <c r="E139" s="77" t="str">
        <f ca="1">IFERROR(__xludf.DUMMYFUNCTION("DATE(VALUE(LEFT($B$2,4)),VALUE(MID($B$2,6,2)),VALUE(RIGHT($B$2,2)))
+ (VALUE(REGEXEXTRACT(INDIRECT(""A""&amp;ROW()+1),""\d+""))-1)*7
+ INT((COLUMN()-COLUMN($B139))/3)
"),"#VALUE!")</f>
        <v>#VALUE!</v>
      </c>
      <c r="F139" s="81"/>
      <c r="G139" s="82"/>
      <c r="H139" s="77" t="str">
        <f ca="1">IFERROR(__xludf.DUMMYFUNCTION("DATE(VALUE(LEFT($B$2,4)),VALUE(MID($B$2,6,2)),VALUE(RIGHT($B$2,2)))
+ (VALUE(REGEXEXTRACT(INDIRECT(""A""&amp;ROW()+1),""\d+""))-1)*7
+ INT((COLUMN()-COLUMN($B139))/3)
"),"#VALUE!")</f>
        <v>#VALUE!</v>
      </c>
      <c r="I139" s="81"/>
      <c r="J139" s="82"/>
      <c r="K139" s="77" t="str">
        <f ca="1">IFERROR(__xludf.DUMMYFUNCTION("DATE(VALUE(LEFT($B$2,4)),VALUE(MID($B$2,6,2)),VALUE(RIGHT($B$2,2)))
+ (VALUE(REGEXEXTRACT(INDIRECT(""A""&amp;ROW()+1),""\d+""))-1)*7
+ INT((COLUMN()-COLUMN($B139))/3)
"),"#VALUE!")</f>
        <v>#VALUE!</v>
      </c>
      <c r="L139" s="81"/>
      <c r="M139" s="82"/>
      <c r="N139" s="77" t="str">
        <f ca="1">IFERROR(__xludf.DUMMYFUNCTION("DATE(VALUE(LEFT($B$2,4)),VALUE(MID($B$2,6,2)),VALUE(RIGHT($B$2,2)))
+ (VALUE(REGEXEXTRACT(INDIRECT(""A""&amp;ROW()+1),""\d+""))-1)*7
+ INT((COLUMN()-COLUMN($B139))/3)
"),"#VALUE!")</f>
        <v>#VALUE!</v>
      </c>
      <c r="O139" s="81"/>
      <c r="P139" s="82"/>
      <c r="Q139" s="77" t="str">
        <f ca="1">IFERROR(__xludf.DUMMYFUNCTION("DATE(VALUE(LEFT($B$2,4)),VALUE(MID($B$2,6,2)),VALUE(RIGHT($B$2,2)))
+ (VALUE(REGEXEXTRACT(INDIRECT(""A""&amp;ROW()+1),""\d+""))-1)*7
+ INT((COLUMN()-COLUMN($B139))/3)
"),"#VALUE!")</f>
        <v>#VALUE!</v>
      </c>
      <c r="R139" s="81"/>
      <c r="S139" s="82"/>
      <c r="T139" s="77" t="str">
        <f ca="1">IFERROR(__xludf.DUMMYFUNCTION("DATE(VALUE(LEFT($B$2,4)),VALUE(MID($B$2,6,2)),VALUE(RIGHT($B$2,2)))
+ (VALUE(REGEXEXTRACT(INDIRECT(""A""&amp;ROW()+1),""\d+""))-1)*7
+ INT((COLUMN()-COLUMN($B139))/3)
"),"#VALUE!")</f>
        <v>#VALUE!</v>
      </c>
      <c r="U139" s="81"/>
      <c r="V139" s="82"/>
      <c r="W139" s="52" t="s">
        <v>20</v>
      </c>
    </row>
    <row r="140" spans="1:23" ht="15.75" customHeight="1">
      <c r="A140" s="47" t="s">
        <v>148</v>
      </c>
      <c r="B140" s="109"/>
      <c r="C140" s="109"/>
      <c r="D140" s="50">
        <f>V138+C140</f>
        <v>-1460</v>
      </c>
      <c r="E140" s="112"/>
      <c r="F140" s="111"/>
      <c r="G140" s="17">
        <f>D150+F140</f>
        <v>-1460</v>
      </c>
      <c r="H140" s="132"/>
      <c r="I140" s="109"/>
      <c r="J140" s="42">
        <f>G150+I140</f>
        <v>-1460</v>
      </c>
      <c r="K140" s="110"/>
      <c r="L140" s="111"/>
      <c r="M140" s="18">
        <f>J150+L140</f>
        <v>-1460</v>
      </c>
      <c r="N140" s="113"/>
      <c r="O140" s="109"/>
      <c r="P140" s="35">
        <f>M150+O140</f>
        <v>-1460</v>
      </c>
      <c r="Q140" s="112"/>
      <c r="R140" s="111"/>
      <c r="S140" s="18">
        <f>P150+R140</f>
        <v>-1460</v>
      </c>
      <c r="T140" s="113"/>
      <c r="U140" s="109"/>
      <c r="V140" s="50">
        <f>S150+U140</f>
        <v>-1460</v>
      </c>
      <c r="W140" s="172"/>
    </row>
    <row r="141" spans="1:23" ht="15.75" customHeight="1">
      <c r="A141" s="114"/>
      <c r="B141" s="117"/>
      <c r="C141" s="117"/>
      <c r="D141" s="45">
        <f t="shared" ref="D141:D150" si="84">D140+C141</f>
        <v>-1460</v>
      </c>
      <c r="E141" s="106"/>
      <c r="F141" s="116"/>
      <c r="G141" s="26">
        <f t="shared" ref="G141:G150" si="85">G140+F141</f>
        <v>-1460</v>
      </c>
      <c r="H141" s="133"/>
      <c r="I141" s="117"/>
      <c r="J141" s="19">
        <f t="shared" ref="J141:J150" si="86">J140+I141</f>
        <v>-1460</v>
      </c>
      <c r="K141" s="116"/>
      <c r="L141" s="107"/>
      <c r="M141" s="26">
        <f t="shared" ref="M141:M150" si="87">M140+L141</f>
        <v>-1460</v>
      </c>
      <c r="N141" s="136"/>
      <c r="O141" s="136"/>
      <c r="P141" s="38">
        <f t="shared" ref="P141:P150" si="88">P140+O141</f>
        <v>-1460</v>
      </c>
      <c r="Q141" s="106"/>
      <c r="R141" s="107"/>
      <c r="S141" s="26">
        <f t="shared" ref="S141:S150" si="89">S140+R141</f>
        <v>-1460</v>
      </c>
      <c r="T141" s="136"/>
      <c r="U141" s="136"/>
      <c r="V141" s="45">
        <f t="shared" ref="V141:V150" si="90">V140+U141</f>
        <v>-1460</v>
      </c>
      <c r="W141" s="143"/>
    </row>
    <row r="142" spans="1:23" ht="15.75" customHeight="1">
      <c r="A142" s="114"/>
      <c r="B142" s="117"/>
      <c r="C142" s="117"/>
      <c r="D142" s="45">
        <f t="shared" si="84"/>
        <v>-1460</v>
      </c>
      <c r="E142" s="106"/>
      <c r="F142" s="116"/>
      <c r="G142" s="26">
        <f t="shared" si="85"/>
        <v>-1460</v>
      </c>
      <c r="H142" s="133"/>
      <c r="I142" s="117"/>
      <c r="J142" s="19">
        <f t="shared" si="86"/>
        <v>-1460</v>
      </c>
      <c r="K142" s="116"/>
      <c r="L142" s="107"/>
      <c r="M142" s="26">
        <f t="shared" si="87"/>
        <v>-1460</v>
      </c>
      <c r="N142" s="117"/>
      <c r="O142" s="117"/>
      <c r="P142" s="38">
        <f t="shared" si="88"/>
        <v>-1460</v>
      </c>
      <c r="Q142" s="106"/>
      <c r="R142" s="107"/>
      <c r="S142" s="26">
        <f t="shared" si="89"/>
        <v>-1460</v>
      </c>
      <c r="T142" s="136"/>
      <c r="U142" s="136"/>
      <c r="V142" s="45">
        <f t="shared" si="90"/>
        <v>-1460</v>
      </c>
      <c r="W142" s="143"/>
    </row>
    <row r="143" spans="1:23" ht="15.75" customHeight="1">
      <c r="A143" s="114"/>
      <c r="B143" s="117"/>
      <c r="C143" s="117"/>
      <c r="D143" s="45">
        <f t="shared" si="84"/>
        <v>-1460</v>
      </c>
      <c r="E143" s="106"/>
      <c r="F143" s="116"/>
      <c r="G143" s="26">
        <f t="shared" si="85"/>
        <v>-1460</v>
      </c>
      <c r="H143" s="133"/>
      <c r="I143" s="117"/>
      <c r="J143" s="19">
        <f t="shared" si="86"/>
        <v>-1460</v>
      </c>
      <c r="K143" s="116"/>
      <c r="L143" s="107"/>
      <c r="M143" s="26">
        <f t="shared" si="87"/>
        <v>-1460</v>
      </c>
      <c r="N143" s="117"/>
      <c r="O143" s="117"/>
      <c r="P143" s="38">
        <f t="shared" si="88"/>
        <v>-1460</v>
      </c>
      <c r="Q143" s="106"/>
      <c r="R143" s="116"/>
      <c r="S143" s="26">
        <f t="shared" si="89"/>
        <v>-1460</v>
      </c>
      <c r="T143" s="136"/>
      <c r="U143" s="136"/>
      <c r="V143" s="45">
        <f t="shared" si="90"/>
        <v>-1460</v>
      </c>
      <c r="W143" s="143"/>
    </row>
    <row r="144" spans="1:23" ht="15.75" customHeight="1">
      <c r="A144" s="114"/>
      <c r="B144" s="117"/>
      <c r="C144" s="117"/>
      <c r="D144" s="45">
        <f t="shared" si="84"/>
        <v>-1460</v>
      </c>
      <c r="E144" s="106"/>
      <c r="F144" s="116"/>
      <c r="G144" s="26">
        <f t="shared" si="85"/>
        <v>-1460</v>
      </c>
      <c r="H144" s="133"/>
      <c r="I144" s="117"/>
      <c r="J144" s="19">
        <f t="shared" si="86"/>
        <v>-1460</v>
      </c>
      <c r="K144" s="116"/>
      <c r="L144" s="107"/>
      <c r="M144" s="26">
        <f t="shared" si="87"/>
        <v>-1460</v>
      </c>
      <c r="N144" s="117"/>
      <c r="O144" s="117"/>
      <c r="P144" s="38">
        <f t="shared" si="88"/>
        <v>-1460</v>
      </c>
      <c r="Q144" s="106"/>
      <c r="R144" s="116"/>
      <c r="S144" s="26">
        <f t="shared" si="89"/>
        <v>-1460</v>
      </c>
      <c r="T144" s="136"/>
      <c r="U144" s="136"/>
      <c r="V144" s="45">
        <f t="shared" si="90"/>
        <v>-1460</v>
      </c>
      <c r="W144" s="143"/>
    </row>
    <row r="145" spans="1:23" ht="15.75" customHeight="1">
      <c r="A145" s="114"/>
      <c r="B145" s="117"/>
      <c r="C145" s="117"/>
      <c r="D145" s="45">
        <f t="shared" si="84"/>
        <v>-1460</v>
      </c>
      <c r="E145" s="106"/>
      <c r="F145" s="116"/>
      <c r="G145" s="26">
        <f t="shared" si="85"/>
        <v>-1460</v>
      </c>
      <c r="H145" s="133"/>
      <c r="I145" s="117"/>
      <c r="J145" s="19">
        <f t="shared" si="86"/>
        <v>-1460</v>
      </c>
      <c r="K145" s="116"/>
      <c r="L145" s="107"/>
      <c r="M145" s="26">
        <f t="shared" si="87"/>
        <v>-1460</v>
      </c>
      <c r="N145" s="117"/>
      <c r="O145" s="117"/>
      <c r="P145" s="38">
        <f t="shared" si="88"/>
        <v>-1460</v>
      </c>
      <c r="Q145" s="106"/>
      <c r="R145" s="116"/>
      <c r="S145" s="26">
        <f t="shared" si="89"/>
        <v>-1460</v>
      </c>
      <c r="T145" s="136"/>
      <c r="U145" s="136"/>
      <c r="V145" s="45">
        <f t="shared" si="90"/>
        <v>-1460</v>
      </c>
      <c r="W145" s="143"/>
    </row>
    <row r="146" spans="1:23" ht="15.75" customHeight="1">
      <c r="A146" s="114"/>
      <c r="B146" s="117"/>
      <c r="C146" s="117"/>
      <c r="D146" s="45">
        <f t="shared" si="84"/>
        <v>-1460</v>
      </c>
      <c r="E146" s="106"/>
      <c r="F146" s="107"/>
      <c r="G146" s="26">
        <f t="shared" si="85"/>
        <v>-1460</v>
      </c>
      <c r="H146" s="133"/>
      <c r="I146" s="117"/>
      <c r="J146" s="19">
        <f t="shared" si="86"/>
        <v>-1460</v>
      </c>
      <c r="K146" s="116"/>
      <c r="L146" s="107"/>
      <c r="M146" s="26">
        <f t="shared" si="87"/>
        <v>-1460</v>
      </c>
      <c r="N146" s="117"/>
      <c r="O146" s="117"/>
      <c r="P146" s="38">
        <f t="shared" si="88"/>
        <v>-1460</v>
      </c>
      <c r="Q146" s="106"/>
      <c r="R146" s="107"/>
      <c r="S146" s="26">
        <f t="shared" si="89"/>
        <v>-1460</v>
      </c>
      <c r="T146" s="136"/>
      <c r="U146" s="136"/>
      <c r="V146" s="45">
        <f t="shared" si="90"/>
        <v>-1460</v>
      </c>
      <c r="W146" s="143"/>
    </row>
    <row r="147" spans="1:23" ht="15.75" customHeight="1">
      <c r="A147" s="114"/>
      <c r="B147" s="117"/>
      <c r="C147" s="117"/>
      <c r="D147" s="45">
        <f t="shared" si="84"/>
        <v>-1460</v>
      </c>
      <c r="E147" s="106"/>
      <c r="F147" s="107"/>
      <c r="G147" s="26">
        <f t="shared" si="85"/>
        <v>-1460</v>
      </c>
      <c r="H147" s="133"/>
      <c r="I147" s="117"/>
      <c r="J147" s="19">
        <f t="shared" si="86"/>
        <v>-1460</v>
      </c>
      <c r="K147" s="116"/>
      <c r="L147" s="107"/>
      <c r="M147" s="26">
        <f t="shared" si="87"/>
        <v>-1460</v>
      </c>
      <c r="N147" s="117"/>
      <c r="O147" s="117"/>
      <c r="P147" s="38">
        <f t="shared" si="88"/>
        <v>-1460</v>
      </c>
      <c r="Q147" s="106"/>
      <c r="R147" s="107"/>
      <c r="S147" s="26">
        <f t="shared" si="89"/>
        <v>-1460</v>
      </c>
      <c r="T147" s="136"/>
      <c r="U147" s="136"/>
      <c r="V147" s="45">
        <f t="shared" si="90"/>
        <v>-1460</v>
      </c>
      <c r="W147" s="143"/>
    </row>
    <row r="148" spans="1:23" ht="15.75" customHeight="1">
      <c r="A148" s="114"/>
      <c r="B148" s="117"/>
      <c r="C148" s="117"/>
      <c r="D148" s="45">
        <f t="shared" si="84"/>
        <v>-1460</v>
      </c>
      <c r="E148" s="106"/>
      <c r="F148" s="107"/>
      <c r="G148" s="26">
        <f t="shared" si="85"/>
        <v>-1460</v>
      </c>
      <c r="H148" s="133"/>
      <c r="I148" s="117"/>
      <c r="J148" s="19">
        <f t="shared" si="86"/>
        <v>-1460</v>
      </c>
      <c r="K148" s="116"/>
      <c r="L148" s="107"/>
      <c r="M148" s="26">
        <f t="shared" si="87"/>
        <v>-1460</v>
      </c>
      <c r="N148" s="117"/>
      <c r="O148" s="117"/>
      <c r="P148" s="38">
        <f t="shared" si="88"/>
        <v>-1460</v>
      </c>
      <c r="Q148" s="106"/>
      <c r="R148" s="107"/>
      <c r="S148" s="26">
        <f t="shared" si="89"/>
        <v>-1460</v>
      </c>
      <c r="T148" s="136"/>
      <c r="U148" s="136"/>
      <c r="V148" s="45">
        <f t="shared" si="90"/>
        <v>-1460</v>
      </c>
      <c r="W148" s="143"/>
    </row>
    <row r="149" spans="1:23" ht="15.75" customHeight="1">
      <c r="A149" s="114"/>
      <c r="B149" s="117"/>
      <c r="C149" s="117"/>
      <c r="D149" s="45">
        <f t="shared" si="84"/>
        <v>-1460</v>
      </c>
      <c r="E149" s="122"/>
      <c r="F149" s="123"/>
      <c r="G149" s="26">
        <f t="shared" si="85"/>
        <v>-1460</v>
      </c>
      <c r="H149" s="133"/>
      <c r="I149" s="117"/>
      <c r="J149" s="19">
        <f t="shared" si="86"/>
        <v>-1460</v>
      </c>
      <c r="K149" s="124"/>
      <c r="L149" s="123"/>
      <c r="M149" s="26">
        <f t="shared" si="87"/>
        <v>-1460</v>
      </c>
      <c r="N149" s="117"/>
      <c r="O149" s="117"/>
      <c r="P149" s="38">
        <f t="shared" si="88"/>
        <v>-1460</v>
      </c>
      <c r="Q149" s="122"/>
      <c r="R149" s="123"/>
      <c r="S149" s="26">
        <f t="shared" si="89"/>
        <v>-1460</v>
      </c>
      <c r="T149" s="136"/>
      <c r="U149" s="136"/>
      <c r="V149" s="45">
        <f t="shared" si="90"/>
        <v>-1460</v>
      </c>
      <c r="W149" s="143"/>
    </row>
    <row r="150" spans="1:23" ht="15.75" customHeight="1">
      <c r="A150" s="114"/>
      <c r="B150" s="128"/>
      <c r="C150" s="128"/>
      <c r="D150" s="46">
        <f t="shared" si="84"/>
        <v>-1460</v>
      </c>
      <c r="E150" s="122"/>
      <c r="F150" s="123"/>
      <c r="G150" s="39">
        <f t="shared" si="85"/>
        <v>-1460</v>
      </c>
      <c r="H150" s="140"/>
      <c r="I150" s="128"/>
      <c r="J150" s="29">
        <f t="shared" si="86"/>
        <v>-1460</v>
      </c>
      <c r="K150" s="124"/>
      <c r="L150" s="123"/>
      <c r="M150" s="39">
        <f t="shared" si="87"/>
        <v>-1460</v>
      </c>
      <c r="N150" s="128"/>
      <c r="O150" s="128"/>
      <c r="P150" s="40">
        <f t="shared" si="88"/>
        <v>-1460</v>
      </c>
      <c r="Q150" s="122"/>
      <c r="R150" s="123"/>
      <c r="S150" s="39">
        <f t="shared" si="89"/>
        <v>-1460</v>
      </c>
      <c r="T150" s="141"/>
      <c r="U150" s="141"/>
      <c r="V150" s="46">
        <f t="shared" si="90"/>
        <v>-1460</v>
      </c>
      <c r="W150" s="143"/>
    </row>
    <row r="151" spans="1:23" ht="15.75" customHeight="1">
      <c r="A151" s="87"/>
      <c r="B151" s="77" t="str">
        <f ca="1">IFERROR(__xludf.DUMMYFUNCTION("DATE(VALUE(LEFT($B$2,4)),VALUE(MID($B$2,6,2)),VALUE(RIGHT($B$2,2)))
+ (VALUE(REGEXEXTRACT(INDIRECT(""A""&amp;ROW()+1),""\d+""))-1)*7
+ INT((COLUMN()-COLUMN($B151))/3)
"),"#VALUE!")</f>
        <v>#VALUE!</v>
      </c>
      <c r="C151" s="81"/>
      <c r="D151" s="82"/>
      <c r="E151" s="77" t="str">
        <f ca="1">IFERROR(__xludf.DUMMYFUNCTION("DATE(VALUE(LEFT($B$2,4)),VALUE(MID($B$2,6,2)),VALUE(RIGHT($B$2,2)))
+ (VALUE(REGEXEXTRACT(INDIRECT(""A""&amp;ROW()+1),""\d+""))-1)*7
+ INT((COLUMN()-COLUMN($B151))/3)
"),"#VALUE!")</f>
        <v>#VALUE!</v>
      </c>
      <c r="F151" s="81"/>
      <c r="G151" s="82"/>
      <c r="H151" s="77" t="str">
        <f ca="1">IFERROR(__xludf.DUMMYFUNCTION("DATE(VALUE(LEFT($B$2,4)),VALUE(MID($B$2,6,2)),VALUE(RIGHT($B$2,2)))
+ (VALUE(REGEXEXTRACT(INDIRECT(""A""&amp;ROW()+1),""\d+""))-1)*7
+ INT((COLUMN()-COLUMN($B151))/3)
"),"#VALUE!")</f>
        <v>#VALUE!</v>
      </c>
      <c r="I151" s="81"/>
      <c r="J151" s="82"/>
      <c r="K151" s="77" t="str">
        <f ca="1">IFERROR(__xludf.DUMMYFUNCTION("DATE(VALUE(LEFT($B$2,4)),VALUE(MID($B$2,6,2)),VALUE(RIGHT($B$2,2)))
+ (VALUE(REGEXEXTRACT(INDIRECT(""A""&amp;ROW()+1),""\d+""))-1)*7
+ INT((COLUMN()-COLUMN($B151))/3)
"),"#VALUE!")</f>
        <v>#VALUE!</v>
      </c>
      <c r="L151" s="81"/>
      <c r="M151" s="82"/>
      <c r="N151" s="77" t="str">
        <f ca="1">IFERROR(__xludf.DUMMYFUNCTION("DATE(VALUE(LEFT($B$2,4)),VALUE(MID($B$2,6,2)),VALUE(RIGHT($B$2,2)))
+ (VALUE(REGEXEXTRACT(INDIRECT(""A""&amp;ROW()+1),""\d+""))-1)*7
+ INT((COLUMN()-COLUMN($B151))/3)
"),"#VALUE!")</f>
        <v>#VALUE!</v>
      </c>
      <c r="O151" s="81"/>
      <c r="P151" s="82"/>
      <c r="Q151" s="77" t="str">
        <f ca="1">IFERROR(__xludf.DUMMYFUNCTION("DATE(VALUE(LEFT($B$2,4)),VALUE(MID($B$2,6,2)),VALUE(RIGHT($B$2,2)))
+ (VALUE(REGEXEXTRACT(INDIRECT(""A""&amp;ROW()+1),""\d+""))-1)*7
+ INT((COLUMN()-COLUMN($B151))/3)
"),"#VALUE!")</f>
        <v>#VALUE!</v>
      </c>
      <c r="R151" s="81"/>
      <c r="S151" s="82"/>
      <c r="T151" s="77" t="str">
        <f ca="1">IFERROR(__xludf.DUMMYFUNCTION("DATE(VALUE(LEFT($B$2,4)),VALUE(MID($B$2,6,2)),VALUE(RIGHT($B$2,2)))
+ (VALUE(REGEXEXTRACT(INDIRECT(""A""&amp;ROW()+1),""\d+""))-1)*7
+ INT((COLUMN()-COLUMN($B151))/3)
"),"#VALUE!")</f>
        <v>#VALUE!</v>
      </c>
      <c r="U151" s="81"/>
      <c r="V151" s="82"/>
      <c r="W151" s="143"/>
    </row>
    <row r="152" spans="1:23" ht="15.75" customHeight="1">
      <c r="A152" s="51" t="s">
        <v>149</v>
      </c>
      <c r="B152" s="112"/>
      <c r="C152" s="111"/>
      <c r="D152" s="48">
        <f>V150+C152</f>
        <v>-1460</v>
      </c>
      <c r="E152" s="113"/>
      <c r="F152" s="109"/>
      <c r="G152" s="42">
        <f>D162+F152</f>
        <v>-1460</v>
      </c>
      <c r="H152" s="110"/>
      <c r="I152" s="111"/>
      <c r="J152" s="17">
        <f>G162+I152</f>
        <v>-1460</v>
      </c>
      <c r="K152" s="132"/>
      <c r="L152" s="109"/>
      <c r="M152" s="35">
        <f>J162+L152</f>
        <v>-1460</v>
      </c>
      <c r="N152" s="112"/>
      <c r="O152" s="111"/>
      <c r="P152" s="17">
        <f>M162+O152</f>
        <v>-1460</v>
      </c>
      <c r="Q152" s="109"/>
      <c r="R152" s="109"/>
      <c r="S152" s="35">
        <f>P162+R152</f>
        <v>-1460</v>
      </c>
      <c r="T152" s="112"/>
      <c r="U152" s="111"/>
      <c r="V152" s="48">
        <f>S162+U152</f>
        <v>-1460</v>
      </c>
      <c r="W152" s="143"/>
    </row>
    <row r="153" spans="1:23" ht="15.75" customHeight="1">
      <c r="A153" s="114"/>
      <c r="B153" s="106"/>
      <c r="C153" s="107"/>
      <c r="D153" s="20">
        <f t="shared" ref="D153:D162" si="91">D152+C153</f>
        <v>-1460</v>
      </c>
      <c r="E153" s="118"/>
      <c r="F153" s="117"/>
      <c r="G153" s="19">
        <f t="shared" ref="G153:G162" si="92">G152+F153</f>
        <v>-1460</v>
      </c>
      <c r="H153" s="116"/>
      <c r="I153" s="107"/>
      <c r="J153" s="26">
        <f t="shared" ref="J153:J162" si="93">J152+I153</f>
        <v>-1460</v>
      </c>
      <c r="K153" s="133"/>
      <c r="L153" s="117"/>
      <c r="M153" s="38">
        <f t="shared" ref="M153:M162" si="94">M152+L153</f>
        <v>-1460</v>
      </c>
      <c r="N153" s="106"/>
      <c r="O153" s="107"/>
      <c r="P153" s="26">
        <f t="shared" ref="P153:P162" si="95">P152+O153</f>
        <v>-1460</v>
      </c>
      <c r="Q153" s="117"/>
      <c r="R153" s="117"/>
      <c r="S153" s="38">
        <f t="shared" ref="S153:S162" si="96">S152+R153</f>
        <v>-1460</v>
      </c>
      <c r="T153" s="106"/>
      <c r="U153" s="107"/>
      <c r="V153" s="20">
        <f t="shared" ref="V153:V162" si="97">V152+U153</f>
        <v>-1460</v>
      </c>
      <c r="W153" s="143"/>
    </row>
    <row r="154" spans="1:23" ht="15.75" customHeight="1">
      <c r="A154" s="114"/>
      <c r="B154" s="106"/>
      <c r="C154" s="107"/>
      <c r="D154" s="20">
        <f t="shared" si="91"/>
        <v>-1460</v>
      </c>
      <c r="E154" s="118"/>
      <c r="F154" s="117"/>
      <c r="G154" s="19">
        <f t="shared" si="92"/>
        <v>-1460</v>
      </c>
      <c r="H154" s="116"/>
      <c r="I154" s="107"/>
      <c r="J154" s="26">
        <f t="shared" si="93"/>
        <v>-1460</v>
      </c>
      <c r="K154" s="133"/>
      <c r="L154" s="117"/>
      <c r="M154" s="38">
        <f t="shared" si="94"/>
        <v>-1460</v>
      </c>
      <c r="N154" s="106"/>
      <c r="O154" s="107"/>
      <c r="P154" s="26">
        <f t="shared" si="95"/>
        <v>-1460</v>
      </c>
      <c r="Q154" s="117"/>
      <c r="R154" s="117"/>
      <c r="S154" s="38">
        <f t="shared" si="96"/>
        <v>-1460</v>
      </c>
      <c r="T154" s="106"/>
      <c r="U154" s="116"/>
      <c r="V154" s="20">
        <f t="shared" si="97"/>
        <v>-1460</v>
      </c>
      <c r="W154" s="143"/>
    </row>
    <row r="155" spans="1:23" ht="15.75" customHeight="1">
      <c r="A155" s="114"/>
      <c r="B155" s="106"/>
      <c r="C155" s="107"/>
      <c r="D155" s="20">
        <f t="shared" si="91"/>
        <v>-1460</v>
      </c>
      <c r="E155" s="118"/>
      <c r="F155" s="117"/>
      <c r="G155" s="19">
        <f t="shared" si="92"/>
        <v>-1460</v>
      </c>
      <c r="H155" s="116"/>
      <c r="I155" s="107"/>
      <c r="J155" s="26">
        <f t="shared" si="93"/>
        <v>-1460</v>
      </c>
      <c r="K155" s="133"/>
      <c r="L155" s="117"/>
      <c r="M155" s="38">
        <f t="shared" si="94"/>
        <v>-1460</v>
      </c>
      <c r="N155" s="106"/>
      <c r="O155" s="107"/>
      <c r="P155" s="26">
        <f t="shared" si="95"/>
        <v>-1460</v>
      </c>
      <c r="Q155" s="117"/>
      <c r="R155" s="117"/>
      <c r="S155" s="38">
        <f t="shared" si="96"/>
        <v>-1460</v>
      </c>
      <c r="T155" s="106"/>
      <c r="U155" s="116"/>
      <c r="V155" s="20">
        <f t="shared" si="97"/>
        <v>-1460</v>
      </c>
      <c r="W155" s="143"/>
    </row>
    <row r="156" spans="1:23" ht="15.75" customHeight="1">
      <c r="A156" s="114"/>
      <c r="B156" s="106"/>
      <c r="C156" s="107"/>
      <c r="D156" s="20">
        <f t="shared" si="91"/>
        <v>-1460</v>
      </c>
      <c r="E156" s="118"/>
      <c r="F156" s="117"/>
      <c r="G156" s="19">
        <f t="shared" si="92"/>
        <v>-1460</v>
      </c>
      <c r="H156" s="116"/>
      <c r="I156" s="107"/>
      <c r="J156" s="26">
        <f t="shared" si="93"/>
        <v>-1460</v>
      </c>
      <c r="K156" s="133"/>
      <c r="L156" s="117"/>
      <c r="M156" s="38">
        <f t="shared" si="94"/>
        <v>-1460</v>
      </c>
      <c r="N156" s="106"/>
      <c r="O156" s="107"/>
      <c r="P156" s="26">
        <f t="shared" si="95"/>
        <v>-1460</v>
      </c>
      <c r="Q156" s="117"/>
      <c r="R156" s="117"/>
      <c r="S156" s="38">
        <f t="shared" si="96"/>
        <v>-1460</v>
      </c>
      <c r="T156" s="106"/>
      <c r="U156" s="116"/>
      <c r="V156" s="20">
        <f t="shared" si="97"/>
        <v>-1460</v>
      </c>
      <c r="W156" s="143"/>
    </row>
    <row r="157" spans="1:23" ht="15.75" customHeight="1">
      <c r="A157" s="114"/>
      <c r="B157" s="106"/>
      <c r="C157" s="107"/>
      <c r="D157" s="20">
        <f t="shared" si="91"/>
        <v>-1460</v>
      </c>
      <c r="E157" s="118"/>
      <c r="F157" s="117"/>
      <c r="G157" s="19">
        <f t="shared" si="92"/>
        <v>-1460</v>
      </c>
      <c r="H157" s="116"/>
      <c r="I157" s="107"/>
      <c r="J157" s="26">
        <f t="shared" si="93"/>
        <v>-1460</v>
      </c>
      <c r="K157" s="117"/>
      <c r="L157" s="117"/>
      <c r="M157" s="38">
        <f t="shared" si="94"/>
        <v>-1460</v>
      </c>
      <c r="N157" s="106"/>
      <c r="O157" s="107"/>
      <c r="P157" s="26">
        <f t="shared" si="95"/>
        <v>-1460</v>
      </c>
      <c r="Q157" s="117"/>
      <c r="R157" s="117"/>
      <c r="S157" s="38">
        <f t="shared" si="96"/>
        <v>-1460</v>
      </c>
      <c r="T157" s="106"/>
      <c r="U157" s="116"/>
      <c r="V157" s="20">
        <f t="shared" si="97"/>
        <v>-1460</v>
      </c>
      <c r="W157" s="143"/>
    </row>
    <row r="158" spans="1:23" ht="15.75" customHeight="1">
      <c r="A158" s="114"/>
      <c r="B158" s="106"/>
      <c r="C158" s="107"/>
      <c r="D158" s="20">
        <f t="shared" si="91"/>
        <v>-1460</v>
      </c>
      <c r="E158" s="118"/>
      <c r="F158" s="117"/>
      <c r="G158" s="19">
        <f t="shared" si="92"/>
        <v>-1460</v>
      </c>
      <c r="H158" s="116"/>
      <c r="I158" s="107"/>
      <c r="J158" s="26">
        <f t="shared" si="93"/>
        <v>-1460</v>
      </c>
      <c r="K158" s="117"/>
      <c r="L158" s="117"/>
      <c r="M158" s="38">
        <f t="shared" si="94"/>
        <v>-1460</v>
      </c>
      <c r="N158" s="106"/>
      <c r="O158" s="107"/>
      <c r="P158" s="26">
        <f t="shared" si="95"/>
        <v>-1460</v>
      </c>
      <c r="Q158" s="117"/>
      <c r="R158" s="117"/>
      <c r="S158" s="38">
        <f t="shared" si="96"/>
        <v>-1460</v>
      </c>
      <c r="T158" s="106"/>
      <c r="U158" s="116"/>
      <c r="V158" s="20">
        <f t="shared" si="97"/>
        <v>-1460</v>
      </c>
      <c r="W158" s="143"/>
    </row>
    <row r="159" spans="1:23" ht="15.75" customHeight="1">
      <c r="A159" s="114"/>
      <c r="B159" s="106"/>
      <c r="C159" s="107"/>
      <c r="D159" s="20">
        <f t="shared" si="91"/>
        <v>-1460</v>
      </c>
      <c r="E159" s="118"/>
      <c r="F159" s="117"/>
      <c r="G159" s="19">
        <f t="shared" si="92"/>
        <v>-1460</v>
      </c>
      <c r="H159" s="116"/>
      <c r="I159" s="107"/>
      <c r="J159" s="26">
        <f t="shared" si="93"/>
        <v>-1460</v>
      </c>
      <c r="K159" s="117"/>
      <c r="L159" s="117"/>
      <c r="M159" s="38">
        <f t="shared" si="94"/>
        <v>-1460</v>
      </c>
      <c r="N159" s="106"/>
      <c r="O159" s="107"/>
      <c r="P159" s="26">
        <f t="shared" si="95"/>
        <v>-1460</v>
      </c>
      <c r="Q159" s="117"/>
      <c r="R159" s="117"/>
      <c r="S159" s="38">
        <f t="shared" si="96"/>
        <v>-1460</v>
      </c>
      <c r="T159" s="106"/>
      <c r="U159" s="116"/>
      <c r="V159" s="20">
        <f t="shared" si="97"/>
        <v>-1460</v>
      </c>
      <c r="W159" s="143"/>
    </row>
    <row r="160" spans="1:23" ht="15.75" customHeight="1">
      <c r="A160" s="114"/>
      <c r="B160" s="122"/>
      <c r="C160" s="123"/>
      <c r="D160" s="20">
        <f t="shared" si="91"/>
        <v>-1460</v>
      </c>
      <c r="E160" s="118"/>
      <c r="F160" s="117"/>
      <c r="G160" s="19">
        <f t="shared" si="92"/>
        <v>-1460</v>
      </c>
      <c r="H160" s="124"/>
      <c r="I160" s="123"/>
      <c r="J160" s="26">
        <f t="shared" si="93"/>
        <v>-1460</v>
      </c>
      <c r="K160" s="117"/>
      <c r="L160" s="117"/>
      <c r="M160" s="38">
        <f t="shared" si="94"/>
        <v>-1460</v>
      </c>
      <c r="N160" s="106"/>
      <c r="O160" s="107"/>
      <c r="P160" s="26">
        <f t="shared" si="95"/>
        <v>-1460</v>
      </c>
      <c r="Q160" s="117"/>
      <c r="R160" s="117"/>
      <c r="S160" s="38">
        <f t="shared" si="96"/>
        <v>-1460</v>
      </c>
      <c r="T160" s="106"/>
      <c r="U160" s="116"/>
      <c r="V160" s="20">
        <f t="shared" si="97"/>
        <v>-1460</v>
      </c>
      <c r="W160" s="143"/>
    </row>
    <row r="161" spans="1:23" ht="15.75" customHeight="1">
      <c r="A161" s="114"/>
      <c r="B161" s="122"/>
      <c r="C161" s="123"/>
      <c r="D161" s="20">
        <f t="shared" si="91"/>
        <v>-1460</v>
      </c>
      <c r="E161" s="118"/>
      <c r="F161" s="117"/>
      <c r="G161" s="19">
        <f t="shared" si="92"/>
        <v>-1460</v>
      </c>
      <c r="H161" s="124"/>
      <c r="I161" s="123"/>
      <c r="J161" s="26">
        <f t="shared" si="93"/>
        <v>-1460</v>
      </c>
      <c r="K161" s="118"/>
      <c r="L161" s="117"/>
      <c r="M161" s="38">
        <f t="shared" si="94"/>
        <v>-1460</v>
      </c>
      <c r="N161" s="106"/>
      <c r="O161" s="107"/>
      <c r="P161" s="26">
        <f t="shared" si="95"/>
        <v>-1460</v>
      </c>
      <c r="Q161" s="117"/>
      <c r="R161" s="117"/>
      <c r="S161" s="38">
        <f t="shared" si="96"/>
        <v>-1460</v>
      </c>
      <c r="T161" s="122"/>
      <c r="U161" s="124"/>
      <c r="V161" s="20">
        <f t="shared" si="97"/>
        <v>-1460</v>
      </c>
      <c r="W161" s="143"/>
    </row>
    <row r="162" spans="1:23" ht="15.75" customHeight="1">
      <c r="A162" s="114"/>
      <c r="B162" s="122"/>
      <c r="C162" s="123"/>
      <c r="D162" s="49">
        <f t="shared" si="91"/>
        <v>-1460</v>
      </c>
      <c r="E162" s="154"/>
      <c r="F162" s="128"/>
      <c r="G162" s="29">
        <f t="shared" si="92"/>
        <v>-1460</v>
      </c>
      <c r="H162" s="124"/>
      <c r="I162" s="123"/>
      <c r="J162" s="39">
        <f t="shared" si="93"/>
        <v>-1460</v>
      </c>
      <c r="K162" s="140"/>
      <c r="L162" s="128"/>
      <c r="M162" s="40">
        <f t="shared" si="94"/>
        <v>-1460</v>
      </c>
      <c r="N162" s="122"/>
      <c r="O162" s="123"/>
      <c r="P162" s="39">
        <f t="shared" si="95"/>
        <v>-1460</v>
      </c>
      <c r="Q162" s="128"/>
      <c r="R162" s="128"/>
      <c r="S162" s="40">
        <f t="shared" si="96"/>
        <v>-1460</v>
      </c>
      <c r="T162" s="122"/>
      <c r="U162" s="123"/>
      <c r="V162" s="49">
        <f t="shared" si="97"/>
        <v>-1460</v>
      </c>
      <c r="W162" s="143"/>
    </row>
    <row r="163" spans="1:23" ht="15.75" customHeight="1">
      <c r="A163" s="87"/>
      <c r="B163" s="77" t="str">
        <f ca="1">IFERROR(__xludf.DUMMYFUNCTION("DATE(VALUE(LEFT($B$2,4)),VALUE(MID($B$2,6,2)),VALUE(RIGHT($B$2,2)))
+ (VALUE(REGEXEXTRACT(INDIRECT(""A""&amp;ROW()+1),""\d+""))-1)*7
+ INT((COLUMN()-COLUMN($B163))/3)
"),"#VALUE!")</f>
        <v>#VALUE!</v>
      </c>
      <c r="C163" s="81"/>
      <c r="D163" s="82"/>
      <c r="E163" s="77" t="str">
        <f ca="1">IFERROR(__xludf.DUMMYFUNCTION("DATE(VALUE(LEFT($B$2,4)),VALUE(MID($B$2,6,2)),VALUE(RIGHT($B$2,2)))
+ (VALUE(REGEXEXTRACT(INDIRECT(""A""&amp;ROW()+1),""\d+""))-1)*7
+ INT((COLUMN()-COLUMN($B163))/3)
"),"#VALUE!")</f>
        <v>#VALUE!</v>
      </c>
      <c r="F163" s="81"/>
      <c r="G163" s="82"/>
      <c r="H163" s="77" t="str">
        <f ca="1">IFERROR(__xludf.DUMMYFUNCTION("DATE(VALUE(LEFT($B$2,4)),VALUE(MID($B$2,6,2)),VALUE(RIGHT($B$2,2)))
+ (VALUE(REGEXEXTRACT(INDIRECT(""A""&amp;ROW()+1),""\d+""))-1)*7
+ INT((COLUMN()-COLUMN($B163))/3)
"),"#VALUE!")</f>
        <v>#VALUE!</v>
      </c>
      <c r="I163" s="81"/>
      <c r="J163" s="82"/>
      <c r="K163" s="77" t="str">
        <f ca="1">IFERROR(__xludf.DUMMYFUNCTION("DATE(VALUE(LEFT($B$2,4)),VALUE(MID($B$2,6,2)),VALUE(RIGHT($B$2,2)))
+ (VALUE(REGEXEXTRACT(INDIRECT(""A""&amp;ROW()+1),""\d+""))-1)*7
+ INT((COLUMN()-COLUMN($B163))/3)
"),"#VALUE!")</f>
        <v>#VALUE!</v>
      </c>
      <c r="L163" s="81"/>
      <c r="M163" s="82"/>
      <c r="N163" s="77" t="str">
        <f ca="1">IFERROR(__xludf.DUMMYFUNCTION("DATE(VALUE(LEFT($B$2,4)),VALUE(MID($B$2,6,2)),VALUE(RIGHT($B$2,2)))
+ (VALUE(REGEXEXTRACT(INDIRECT(""A""&amp;ROW()+1),""\d+""))-1)*7
+ INT((COLUMN()-COLUMN($B163))/3)
"),"#VALUE!")</f>
        <v>#VALUE!</v>
      </c>
      <c r="O163" s="81"/>
      <c r="P163" s="82"/>
      <c r="Q163" s="77" t="str">
        <f ca="1">IFERROR(__xludf.DUMMYFUNCTION("DATE(VALUE(LEFT($B$2,4)),VALUE(MID($B$2,6,2)),VALUE(RIGHT($B$2,2)))
+ (VALUE(REGEXEXTRACT(INDIRECT(""A""&amp;ROW()+1),""\d+""))-1)*7
+ INT((COLUMN()-COLUMN($B163))/3)
"),"#VALUE!")</f>
        <v>#VALUE!</v>
      </c>
      <c r="R163" s="81"/>
      <c r="S163" s="82"/>
      <c r="T163" s="77" t="str">
        <f ca="1">IFERROR(__xludf.DUMMYFUNCTION("DATE(VALUE(LEFT($B$2,4)),VALUE(MID($B$2,6,2)),VALUE(RIGHT($B$2,2)))
+ (VALUE(REGEXEXTRACT(INDIRECT(""A""&amp;ROW()+1),""\d+""))-1)*7
+ INT((COLUMN()-COLUMN($B163))/3)
"),"#VALUE!")</f>
        <v>#VALUE!</v>
      </c>
      <c r="U163" s="81"/>
      <c r="V163" s="82"/>
      <c r="W163" s="52" t="s">
        <v>20</v>
      </c>
    </row>
    <row r="164" spans="1:23" ht="15.75" customHeight="1">
      <c r="A164" s="47" t="s">
        <v>150</v>
      </c>
      <c r="B164" s="109"/>
      <c r="C164" s="109"/>
      <c r="D164" s="50">
        <f>V162+C164</f>
        <v>-1460</v>
      </c>
      <c r="E164" s="112"/>
      <c r="F164" s="111"/>
      <c r="G164" s="17">
        <f>D174+F164</f>
        <v>-1460</v>
      </c>
      <c r="H164" s="132"/>
      <c r="I164" s="109"/>
      <c r="J164" s="42">
        <f>G174+I164</f>
        <v>-1460</v>
      </c>
      <c r="K164" s="110"/>
      <c r="L164" s="111"/>
      <c r="M164" s="18">
        <f>J174+L164</f>
        <v>-1460</v>
      </c>
      <c r="N164" s="113"/>
      <c r="O164" s="109"/>
      <c r="P164" s="35">
        <f>M174+O164</f>
        <v>-1460</v>
      </c>
      <c r="Q164" s="112"/>
      <c r="R164" s="111"/>
      <c r="S164" s="18">
        <f>P174+R164</f>
        <v>-1460</v>
      </c>
      <c r="T164" s="113"/>
      <c r="U164" s="109"/>
      <c r="V164" s="50">
        <f>S174+U164</f>
        <v>-1460</v>
      </c>
      <c r="W164" s="172"/>
    </row>
    <row r="165" spans="1:23" ht="15.75" customHeight="1">
      <c r="A165" s="114"/>
      <c r="B165" s="117"/>
      <c r="C165" s="117"/>
      <c r="D165" s="45">
        <f t="shared" ref="D165:D174" si="98">D164+C165</f>
        <v>-1460</v>
      </c>
      <c r="E165" s="106"/>
      <c r="F165" s="107"/>
      <c r="G165" s="26">
        <f t="shared" ref="G165:G174" si="99">G164+F165</f>
        <v>-1460</v>
      </c>
      <c r="H165" s="117"/>
      <c r="I165" s="117"/>
      <c r="J165" s="19">
        <f t="shared" ref="J165:J174" si="100">J164+I165</f>
        <v>-1460</v>
      </c>
      <c r="K165" s="106"/>
      <c r="L165" s="107"/>
      <c r="M165" s="26">
        <f t="shared" ref="M165:M174" si="101">M164+L165</f>
        <v>-1460</v>
      </c>
      <c r="N165" s="118"/>
      <c r="O165" s="117"/>
      <c r="P165" s="38">
        <f t="shared" ref="P165:P174" si="102">P164+O165</f>
        <v>-1460</v>
      </c>
      <c r="Q165" s="106"/>
      <c r="R165" s="107"/>
      <c r="S165" s="26">
        <f t="shared" ref="S165:S174" si="103">S164+R165</f>
        <v>-1460</v>
      </c>
      <c r="T165" s="136"/>
      <c r="U165" s="136"/>
      <c r="V165" s="45">
        <f t="shared" ref="V165:V174" si="104">V164+U165</f>
        <v>-1460</v>
      </c>
      <c r="W165" s="143"/>
    </row>
    <row r="166" spans="1:23" ht="15.75" customHeight="1">
      <c r="A166" s="114"/>
      <c r="B166" s="117"/>
      <c r="C166" s="117"/>
      <c r="D166" s="45">
        <f t="shared" si="98"/>
        <v>-1460</v>
      </c>
      <c r="E166" s="106"/>
      <c r="F166" s="107"/>
      <c r="G166" s="26">
        <f t="shared" si="99"/>
        <v>-1460</v>
      </c>
      <c r="H166" s="117"/>
      <c r="I166" s="117"/>
      <c r="J166" s="19">
        <f t="shared" si="100"/>
        <v>-1460</v>
      </c>
      <c r="K166" s="106"/>
      <c r="L166" s="107"/>
      <c r="M166" s="26">
        <f t="shared" si="101"/>
        <v>-1460</v>
      </c>
      <c r="N166" s="118"/>
      <c r="O166" s="117"/>
      <c r="P166" s="38">
        <f t="shared" si="102"/>
        <v>-1460</v>
      </c>
      <c r="Q166" s="106"/>
      <c r="R166" s="107"/>
      <c r="S166" s="26">
        <f t="shared" si="103"/>
        <v>-1460</v>
      </c>
      <c r="T166" s="136"/>
      <c r="U166" s="136"/>
      <c r="V166" s="45">
        <f t="shared" si="104"/>
        <v>-1460</v>
      </c>
      <c r="W166" s="143"/>
    </row>
    <row r="167" spans="1:23" ht="15.75" customHeight="1">
      <c r="A167" s="114"/>
      <c r="B167" s="117"/>
      <c r="C167" s="117"/>
      <c r="D167" s="45">
        <f t="shared" si="98"/>
        <v>-1460</v>
      </c>
      <c r="E167" s="106"/>
      <c r="F167" s="107"/>
      <c r="G167" s="26">
        <f t="shared" si="99"/>
        <v>-1460</v>
      </c>
      <c r="H167" s="117"/>
      <c r="I167" s="117"/>
      <c r="J167" s="19">
        <f t="shared" si="100"/>
        <v>-1460</v>
      </c>
      <c r="K167" s="106"/>
      <c r="L167" s="107"/>
      <c r="M167" s="26">
        <f t="shared" si="101"/>
        <v>-1460</v>
      </c>
      <c r="N167" s="118"/>
      <c r="O167" s="117"/>
      <c r="P167" s="38">
        <f t="shared" si="102"/>
        <v>-1460</v>
      </c>
      <c r="Q167" s="106"/>
      <c r="R167" s="107"/>
      <c r="S167" s="26">
        <f t="shared" si="103"/>
        <v>-1460</v>
      </c>
      <c r="T167" s="136"/>
      <c r="U167" s="136"/>
      <c r="V167" s="45">
        <f t="shared" si="104"/>
        <v>-1460</v>
      </c>
      <c r="W167" s="143"/>
    </row>
    <row r="168" spans="1:23" ht="15.75" customHeight="1">
      <c r="A168" s="114"/>
      <c r="B168" s="117"/>
      <c r="C168" s="117"/>
      <c r="D168" s="45">
        <f t="shared" si="98"/>
        <v>-1460</v>
      </c>
      <c r="E168" s="106"/>
      <c r="F168" s="107"/>
      <c r="G168" s="26">
        <f t="shared" si="99"/>
        <v>-1460</v>
      </c>
      <c r="H168" s="133"/>
      <c r="I168" s="117"/>
      <c r="J168" s="19">
        <f t="shared" si="100"/>
        <v>-1460</v>
      </c>
      <c r="K168" s="106"/>
      <c r="L168" s="107"/>
      <c r="M168" s="26">
        <f t="shared" si="101"/>
        <v>-1460</v>
      </c>
      <c r="N168" s="118"/>
      <c r="O168" s="117"/>
      <c r="P168" s="38">
        <f t="shared" si="102"/>
        <v>-1460</v>
      </c>
      <c r="Q168" s="106"/>
      <c r="R168" s="107"/>
      <c r="S168" s="26">
        <f t="shared" si="103"/>
        <v>-1460</v>
      </c>
      <c r="T168" s="136"/>
      <c r="U168" s="136"/>
      <c r="V168" s="45">
        <f t="shared" si="104"/>
        <v>-1460</v>
      </c>
      <c r="W168" s="143"/>
    </row>
    <row r="169" spans="1:23" ht="15.75" customHeight="1">
      <c r="A169" s="114"/>
      <c r="B169" s="117"/>
      <c r="C169" s="117"/>
      <c r="D169" s="45">
        <f t="shared" si="98"/>
        <v>-1460</v>
      </c>
      <c r="E169" s="106"/>
      <c r="F169" s="107"/>
      <c r="G169" s="26">
        <f t="shared" si="99"/>
        <v>-1460</v>
      </c>
      <c r="H169" s="133"/>
      <c r="I169" s="117"/>
      <c r="J169" s="19">
        <f t="shared" si="100"/>
        <v>-1460</v>
      </c>
      <c r="K169" s="106"/>
      <c r="L169" s="107"/>
      <c r="M169" s="26">
        <f t="shared" si="101"/>
        <v>-1460</v>
      </c>
      <c r="N169" s="118"/>
      <c r="O169" s="117"/>
      <c r="P169" s="38">
        <f t="shared" si="102"/>
        <v>-1460</v>
      </c>
      <c r="Q169" s="106"/>
      <c r="R169" s="107"/>
      <c r="S169" s="26">
        <f t="shared" si="103"/>
        <v>-1460</v>
      </c>
      <c r="T169" s="136"/>
      <c r="U169" s="136"/>
      <c r="V169" s="45">
        <f t="shared" si="104"/>
        <v>-1460</v>
      </c>
      <c r="W169" s="143"/>
    </row>
    <row r="170" spans="1:23" ht="15.75" customHeight="1">
      <c r="A170" s="114"/>
      <c r="B170" s="117"/>
      <c r="C170" s="117"/>
      <c r="D170" s="45">
        <f t="shared" si="98"/>
        <v>-1460</v>
      </c>
      <c r="E170" s="106"/>
      <c r="F170" s="107"/>
      <c r="G170" s="26">
        <f t="shared" si="99"/>
        <v>-1460</v>
      </c>
      <c r="H170" s="133"/>
      <c r="I170" s="117"/>
      <c r="J170" s="19">
        <f t="shared" si="100"/>
        <v>-1460</v>
      </c>
      <c r="K170" s="116"/>
      <c r="L170" s="107"/>
      <c r="M170" s="26">
        <f t="shared" si="101"/>
        <v>-1460</v>
      </c>
      <c r="N170" s="133"/>
      <c r="O170" s="117"/>
      <c r="P170" s="38">
        <f t="shared" si="102"/>
        <v>-1460</v>
      </c>
      <c r="Q170" s="106"/>
      <c r="R170" s="107"/>
      <c r="S170" s="26">
        <f t="shared" si="103"/>
        <v>-1460</v>
      </c>
      <c r="T170" s="136"/>
      <c r="U170" s="136"/>
      <c r="V170" s="45">
        <f t="shared" si="104"/>
        <v>-1460</v>
      </c>
      <c r="W170" s="143"/>
    </row>
    <row r="171" spans="1:23" ht="15.75" customHeight="1">
      <c r="A171" s="114"/>
      <c r="B171" s="117"/>
      <c r="C171" s="117"/>
      <c r="D171" s="45">
        <f t="shared" si="98"/>
        <v>-1460</v>
      </c>
      <c r="E171" s="106"/>
      <c r="F171" s="107"/>
      <c r="G171" s="26">
        <f t="shared" si="99"/>
        <v>-1460</v>
      </c>
      <c r="H171" s="133"/>
      <c r="I171" s="117"/>
      <c r="J171" s="19">
        <f t="shared" si="100"/>
        <v>-1460</v>
      </c>
      <c r="K171" s="116"/>
      <c r="L171" s="107"/>
      <c r="M171" s="26">
        <f t="shared" si="101"/>
        <v>-1460</v>
      </c>
      <c r="N171" s="133"/>
      <c r="O171" s="117"/>
      <c r="P171" s="38">
        <f t="shared" si="102"/>
        <v>-1460</v>
      </c>
      <c r="Q171" s="106"/>
      <c r="R171" s="107"/>
      <c r="S171" s="26">
        <f t="shared" si="103"/>
        <v>-1460</v>
      </c>
      <c r="T171" s="136"/>
      <c r="U171" s="136"/>
      <c r="V171" s="45">
        <f t="shared" si="104"/>
        <v>-1460</v>
      </c>
      <c r="W171" s="143"/>
    </row>
    <row r="172" spans="1:23" ht="15.75" customHeight="1">
      <c r="A172" s="114"/>
      <c r="B172" s="117"/>
      <c r="C172" s="117"/>
      <c r="D172" s="45">
        <f t="shared" si="98"/>
        <v>-1460</v>
      </c>
      <c r="E172" s="106"/>
      <c r="F172" s="107"/>
      <c r="G172" s="26">
        <f t="shared" si="99"/>
        <v>-1460</v>
      </c>
      <c r="H172" s="133"/>
      <c r="I172" s="117"/>
      <c r="J172" s="19">
        <f t="shared" si="100"/>
        <v>-1460</v>
      </c>
      <c r="K172" s="116"/>
      <c r="L172" s="107"/>
      <c r="M172" s="26">
        <f t="shared" si="101"/>
        <v>-1460</v>
      </c>
      <c r="N172" s="117"/>
      <c r="O172" s="117"/>
      <c r="P172" s="38">
        <f t="shared" si="102"/>
        <v>-1460</v>
      </c>
      <c r="Q172" s="106"/>
      <c r="R172" s="107"/>
      <c r="S172" s="26">
        <f t="shared" si="103"/>
        <v>-1460</v>
      </c>
      <c r="T172" s="136"/>
      <c r="U172" s="136"/>
      <c r="V172" s="45">
        <f t="shared" si="104"/>
        <v>-1460</v>
      </c>
      <c r="W172" s="143"/>
    </row>
    <row r="173" spans="1:23" ht="15.75" customHeight="1">
      <c r="A173" s="114"/>
      <c r="B173" s="117"/>
      <c r="C173" s="117"/>
      <c r="D173" s="45">
        <f t="shared" si="98"/>
        <v>-1460</v>
      </c>
      <c r="E173" s="122"/>
      <c r="F173" s="123"/>
      <c r="G173" s="26">
        <f t="shared" si="99"/>
        <v>-1460</v>
      </c>
      <c r="H173" s="133"/>
      <c r="I173" s="117"/>
      <c r="J173" s="19">
        <f t="shared" si="100"/>
        <v>-1460</v>
      </c>
      <c r="K173" s="124"/>
      <c r="L173" s="123"/>
      <c r="M173" s="26">
        <f t="shared" si="101"/>
        <v>-1460</v>
      </c>
      <c r="N173" s="117"/>
      <c r="O173" s="117"/>
      <c r="P173" s="38">
        <f t="shared" si="102"/>
        <v>-1460</v>
      </c>
      <c r="Q173" s="106"/>
      <c r="R173" s="107"/>
      <c r="S173" s="26">
        <f t="shared" si="103"/>
        <v>-1460</v>
      </c>
      <c r="T173" s="136"/>
      <c r="U173" s="136"/>
      <c r="V173" s="45">
        <f t="shared" si="104"/>
        <v>-1460</v>
      </c>
      <c r="W173" s="143"/>
    </row>
    <row r="174" spans="1:23" ht="15.75" customHeight="1">
      <c r="A174" s="114"/>
      <c r="B174" s="128"/>
      <c r="C174" s="128"/>
      <c r="D174" s="46">
        <f t="shared" si="98"/>
        <v>-1460</v>
      </c>
      <c r="E174" s="166"/>
      <c r="F174" s="167"/>
      <c r="G174" s="53">
        <f t="shared" si="99"/>
        <v>-1460</v>
      </c>
      <c r="H174" s="174"/>
      <c r="I174" s="175"/>
      <c r="J174" s="55">
        <f t="shared" si="100"/>
        <v>-1460</v>
      </c>
      <c r="K174" s="124"/>
      <c r="L174" s="123"/>
      <c r="M174" s="39">
        <f t="shared" si="101"/>
        <v>-1460</v>
      </c>
      <c r="N174" s="128"/>
      <c r="O174" s="128"/>
      <c r="P174" s="40">
        <f t="shared" si="102"/>
        <v>-1460</v>
      </c>
      <c r="Q174" s="122"/>
      <c r="R174" s="123"/>
      <c r="S174" s="39">
        <f t="shared" si="103"/>
        <v>-1460</v>
      </c>
      <c r="T174" s="141"/>
      <c r="U174" s="141"/>
      <c r="V174" s="46">
        <f t="shared" si="104"/>
        <v>-1460</v>
      </c>
      <c r="W174" s="143"/>
    </row>
    <row r="175" spans="1:23" ht="15.75" customHeight="1">
      <c r="A175" s="87"/>
      <c r="B175" s="77" t="str">
        <f ca="1">IFERROR(__xludf.DUMMYFUNCTION("DATE(VALUE(LEFT($B$2,4)),VALUE(MID($B$2,6,2)),VALUE(RIGHT($B$2,2)))
+ (VALUE(REGEXEXTRACT(INDIRECT(""A""&amp;ROW()+1),""\d+""))-1)*7
+ INT((COLUMN()-COLUMN($B175))/3)
"),"#VALUE!")</f>
        <v>#VALUE!</v>
      </c>
      <c r="C175" s="81"/>
      <c r="D175" s="82"/>
      <c r="E175" s="77" t="str">
        <f ca="1">IFERROR(__xludf.DUMMYFUNCTION("DATE(VALUE(LEFT($B$2,4)),VALUE(MID($B$2,6,2)),VALUE(RIGHT($B$2,2)))
+ (VALUE(REGEXEXTRACT(INDIRECT(""A""&amp;ROW()+1),""\d+""))-1)*7
+ INT((COLUMN()-COLUMN($B175))/3)
"),"#VALUE!")</f>
        <v>#VALUE!</v>
      </c>
      <c r="F175" s="81"/>
      <c r="G175" s="82"/>
      <c r="H175" s="77" t="str">
        <f ca="1">IFERROR(__xludf.DUMMYFUNCTION("DATE(VALUE(LEFT($B$2,4)),VALUE(MID($B$2,6,2)),VALUE(RIGHT($B$2,2)))
+ (VALUE(REGEXEXTRACT(INDIRECT(""A""&amp;ROW()+1),""\d+""))-1)*7
+ INT((COLUMN()-COLUMN($B175))/3)
"),"#VALUE!")</f>
        <v>#VALUE!</v>
      </c>
      <c r="I175" s="81"/>
      <c r="J175" s="82"/>
      <c r="K175" s="77" t="str">
        <f ca="1">IFERROR(__xludf.DUMMYFUNCTION("DATE(VALUE(LEFT($B$2,4)),VALUE(MID($B$2,6,2)),VALUE(RIGHT($B$2,2)))
+ (VALUE(REGEXEXTRACT(INDIRECT(""A""&amp;ROW()+1),""\d+""))-1)*7
+ INT((COLUMN()-COLUMN($B175))/3)
"),"#VALUE!")</f>
        <v>#VALUE!</v>
      </c>
      <c r="L175" s="81"/>
      <c r="M175" s="82"/>
      <c r="N175" s="77" t="str">
        <f ca="1">IFERROR(__xludf.DUMMYFUNCTION("DATE(VALUE(LEFT($B$2,4)),VALUE(MID($B$2,6,2)),VALUE(RIGHT($B$2,2)))
+ (VALUE(REGEXEXTRACT(INDIRECT(""A""&amp;ROW()+1),""\d+""))-1)*7
+ INT((COLUMN()-COLUMN($B175))/3)
"),"#VALUE!")</f>
        <v>#VALUE!</v>
      </c>
      <c r="O175" s="81"/>
      <c r="P175" s="82"/>
      <c r="Q175" s="77" t="str">
        <f ca="1">IFERROR(__xludf.DUMMYFUNCTION("DATE(VALUE(LEFT($B$2,4)),VALUE(MID($B$2,6,2)),VALUE(RIGHT($B$2,2)))
+ (VALUE(REGEXEXTRACT(INDIRECT(""A""&amp;ROW()+1),""\d+""))-1)*7
+ INT((COLUMN()-COLUMN($B175))/3)
"),"#VALUE!")</f>
        <v>#VALUE!</v>
      </c>
      <c r="R175" s="81"/>
      <c r="S175" s="82"/>
      <c r="T175" s="77" t="str">
        <f ca="1">IFERROR(__xludf.DUMMYFUNCTION("DATE(VALUE(LEFT($B$2,4)),VALUE(MID($B$2,6,2)),VALUE(RIGHT($B$2,2)))
+ (VALUE(REGEXEXTRACT(INDIRECT(""A""&amp;ROW()+1),""\d+""))-1)*7
+ INT((COLUMN()-COLUMN($B175))/3)
"),"#VALUE!")</f>
        <v>#VALUE!</v>
      </c>
      <c r="U175" s="81"/>
      <c r="V175" s="82"/>
      <c r="W175" s="143"/>
    </row>
    <row r="176" spans="1:23" ht="15.75" customHeight="1">
      <c r="A176" s="51" t="s">
        <v>151</v>
      </c>
      <c r="B176" s="112"/>
      <c r="C176" s="111"/>
      <c r="D176" s="17">
        <f>V174+C176</f>
        <v>-1460</v>
      </c>
      <c r="E176" s="109"/>
      <c r="F176" s="109"/>
      <c r="G176" s="42">
        <f>D186+F176</f>
        <v>-1460</v>
      </c>
      <c r="H176" s="112"/>
      <c r="I176" s="111"/>
      <c r="J176" s="17">
        <f>G186+I176</f>
        <v>-1460</v>
      </c>
      <c r="K176" s="109"/>
      <c r="L176" s="109"/>
      <c r="M176" s="35">
        <f>J186+L176</f>
        <v>-1460</v>
      </c>
      <c r="N176" s="112"/>
      <c r="O176" s="111"/>
      <c r="P176" s="17">
        <f>M186+O176</f>
        <v>-1460</v>
      </c>
      <c r="Q176" s="109"/>
      <c r="R176" s="109"/>
      <c r="S176" s="35">
        <f>P186+R176</f>
        <v>-1460</v>
      </c>
      <c r="T176" s="112"/>
      <c r="U176" s="111"/>
      <c r="V176" s="48">
        <f>S186+U176</f>
        <v>-1460</v>
      </c>
      <c r="W176" s="143"/>
    </row>
    <row r="177" spans="1:23" ht="15.75" customHeight="1">
      <c r="A177" s="114"/>
      <c r="B177" s="106"/>
      <c r="C177" s="107"/>
      <c r="D177" s="26">
        <f t="shared" ref="D177:D186" si="105">D176+C177</f>
        <v>-1460</v>
      </c>
      <c r="E177" s="117"/>
      <c r="F177" s="117"/>
      <c r="G177" s="19">
        <f t="shared" ref="G177:G186" si="106">G176+F177</f>
        <v>-1460</v>
      </c>
      <c r="H177" s="106"/>
      <c r="I177" s="107"/>
      <c r="J177" s="26">
        <f t="shared" ref="J177:J186" si="107">J176+I177</f>
        <v>-1460</v>
      </c>
      <c r="K177" s="117"/>
      <c r="L177" s="117"/>
      <c r="M177" s="38">
        <f t="shared" ref="M177:M186" si="108">M176+L177</f>
        <v>-1460</v>
      </c>
      <c r="N177" s="106"/>
      <c r="O177" s="107"/>
      <c r="P177" s="26">
        <f t="shared" ref="P177:P186" si="109">P176+O177</f>
        <v>-1460</v>
      </c>
      <c r="Q177" s="117"/>
      <c r="R177" s="117"/>
      <c r="S177" s="38">
        <f t="shared" ref="S177:S186" si="110">S176+R177</f>
        <v>-1460</v>
      </c>
      <c r="T177" s="106"/>
      <c r="U177" s="107"/>
      <c r="V177" s="20">
        <f t="shared" ref="V177:V186" si="111">V176+U177</f>
        <v>-1460</v>
      </c>
      <c r="W177" s="143"/>
    </row>
    <row r="178" spans="1:23" ht="15.75" customHeight="1">
      <c r="A178" s="114"/>
      <c r="B178" s="106"/>
      <c r="C178" s="107"/>
      <c r="D178" s="26">
        <f t="shared" si="105"/>
        <v>-1460</v>
      </c>
      <c r="E178" s="117"/>
      <c r="F178" s="117"/>
      <c r="G178" s="19">
        <f t="shared" si="106"/>
        <v>-1460</v>
      </c>
      <c r="H178" s="106"/>
      <c r="I178" s="107"/>
      <c r="J178" s="26">
        <f t="shared" si="107"/>
        <v>-1460</v>
      </c>
      <c r="K178" s="117"/>
      <c r="L178" s="117"/>
      <c r="M178" s="38">
        <f t="shared" si="108"/>
        <v>-1460</v>
      </c>
      <c r="N178" s="106"/>
      <c r="O178" s="107"/>
      <c r="P178" s="26">
        <f t="shared" si="109"/>
        <v>-1460</v>
      </c>
      <c r="Q178" s="117"/>
      <c r="R178" s="117"/>
      <c r="S178" s="38">
        <f t="shared" si="110"/>
        <v>-1460</v>
      </c>
      <c r="T178" s="106"/>
      <c r="U178" s="107"/>
      <c r="V178" s="20">
        <f t="shared" si="111"/>
        <v>-1460</v>
      </c>
      <c r="W178" s="143"/>
    </row>
    <row r="179" spans="1:23" ht="15.75" customHeight="1">
      <c r="A179" s="114"/>
      <c r="B179" s="106"/>
      <c r="C179" s="107"/>
      <c r="D179" s="26">
        <f t="shared" si="105"/>
        <v>-1460</v>
      </c>
      <c r="E179" s="117"/>
      <c r="F179" s="117"/>
      <c r="G179" s="19">
        <f t="shared" si="106"/>
        <v>-1460</v>
      </c>
      <c r="H179" s="106"/>
      <c r="I179" s="107"/>
      <c r="J179" s="26">
        <f t="shared" si="107"/>
        <v>-1460</v>
      </c>
      <c r="K179" s="117"/>
      <c r="L179" s="117"/>
      <c r="M179" s="38">
        <f t="shared" si="108"/>
        <v>-1460</v>
      </c>
      <c r="N179" s="106"/>
      <c r="O179" s="107"/>
      <c r="P179" s="26">
        <f t="shared" si="109"/>
        <v>-1460</v>
      </c>
      <c r="Q179" s="117"/>
      <c r="R179" s="117"/>
      <c r="S179" s="38">
        <f t="shared" si="110"/>
        <v>-1460</v>
      </c>
      <c r="T179" s="106"/>
      <c r="U179" s="107"/>
      <c r="V179" s="20">
        <f t="shared" si="111"/>
        <v>-1460</v>
      </c>
      <c r="W179" s="143"/>
    </row>
    <row r="180" spans="1:23" ht="15.75" customHeight="1">
      <c r="A180" s="114"/>
      <c r="B180" s="106"/>
      <c r="C180" s="107"/>
      <c r="D180" s="26">
        <f t="shared" si="105"/>
        <v>-1460</v>
      </c>
      <c r="E180" s="117"/>
      <c r="F180" s="117"/>
      <c r="G180" s="19">
        <f t="shared" si="106"/>
        <v>-1460</v>
      </c>
      <c r="H180" s="106"/>
      <c r="I180" s="107"/>
      <c r="J180" s="26">
        <f t="shared" si="107"/>
        <v>-1460</v>
      </c>
      <c r="K180" s="117"/>
      <c r="L180" s="117"/>
      <c r="M180" s="38">
        <f t="shared" si="108"/>
        <v>-1460</v>
      </c>
      <c r="N180" s="106"/>
      <c r="O180" s="107"/>
      <c r="P180" s="26">
        <f t="shared" si="109"/>
        <v>-1460</v>
      </c>
      <c r="Q180" s="117"/>
      <c r="R180" s="117"/>
      <c r="S180" s="38">
        <f t="shared" si="110"/>
        <v>-1460</v>
      </c>
      <c r="T180" s="106"/>
      <c r="U180" s="107"/>
      <c r="V180" s="20">
        <f t="shared" si="111"/>
        <v>-1460</v>
      </c>
      <c r="W180" s="143"/>
    </row>
    <row r="181" spans="1:23" ht="15.75" customHeight="1">
      <c r="A181" s="114"/>
      <c r="B181" s="106"/>
      <c r="C181" s="107"/>
      <c r="D181" s="26">
        <f t="shared" si="105"/>
        <v>-1460</v>
      </c>
      <c r="E181" s="117"/>
      <c r="F181" s="117"/>
      <c r="G181" s="19">
        <f t="shared" si="106"/>
        <v>-1460</v>
      </c>
      <c r="H181" s="106"/>
      <c r="I181" s="107"/>
      <c r="J181" s="26">
        <f t="shared" si="107"/>
        <v>-1460</v>
      </c>
      <c r="K181" s="117"/>
      <c r="L181" s="117"/>
      <c r="M181" s="38">
        <f t="shared" si="108"/>
        <v>-1460</v>
      </c>
      <c r="N181" s="106"/>
      <c r="O181" s="107"/>
      <c r="P181" s="26">
        <f t="shared" si="109"/>
        <v>-1460</v>
      </c>
      <c r="Q181" s="117"/>
      <c r="R181" s="117"/>
      <c r="S181" s="38">
        <f t="shared" si="110"/>
        <v>-1460</v>
      </c>
      <c r="T181" s="106"/>
      <c r="U181" s="107"/>
      <c r="V181" s="20">
        <f t="shared" si="111"/>
        <v>-1460</v>
      </c>
      <c r="W181" s="143"/>
    </row>
    <row r="182" spans="1:23" ht="15.75" customHeight="1">
      <c r="A182" s="114"/>
      <c r="B182" s="106"/>
      <c r="C182" s="107"/>
      <c r="D182" s="26">
        <f t="shared" si="105"/>
        <v>-1460</v>
      </c>
      <c r="E182" s="117"/>
      <c r="F182" s="117"/>
      <c r="G182" s="19">
        <f t="shared" si="106"/>
        <v>-1460</v>
      </c>
      <c r="H182" s="106"/>
      <c r="I182" s="107"/>
      <c r="J182" s="26">
        <f t="shared" si="107"/>
        <v>-1460</v>
      </c>
      <c r="K182" s="117"/>
      <c r="L182" s="117"/>
      <c r="M182" s="38">
        <f t="shared" si="108"/>
        <v>-1460</v>
      </c>
      <c r="N182" s="106"/>
      <c r="O182" s="107"/>
      <c r="P182" s="26">
        <f t="shared" si="109"/>
        <v>-1460</v>
      </c>
      <c r="Q182" s="117"/>
      <c r="R182" s="117"/>
      <c r="S182" s="38">
        <f t="shared" si="110"/>
        <v>-1460</v>
      </c>
      <c r="T182" s="106"/>
      <c r="U182" s="107"/>
      <c r="V182" s="20">
        <f t="shared" si="111"/>
        <v>-1460</v>
      </c>
      <c r="W182" s="143"/>
    </row>
    <row r="183" spans="1:23" ht="15.75" customHeight="1">
      <c r="A183" s="114"/>
      <c r="B183" s="106"/>
      <c r="C183" s="107"/>
      <c r="D183" s="26">
        <f t="shared" si="105"/>
        <v>-1460</v>
      </c>
      <c r="E183" s="117"/>
      <c r="F183" s="117"/>
      <c r="G183" s="19">
        <f t="shared" si="106"/>
        <v>-1460</v>
      </c>
      <c r="H183" s="106"/>
      <c r="I183" s="107"/>
      <c r="J183" s="26">
        <f t="shared" si="107"/>
        <v>-1460</v>
      </c>
      <c r="K183" s="117"/>
      <c r="L183" s="117"/>
      <c r="M183" s="38">
        <f t="shared" si="108"/>
        <v>-1460</v>
      </c>
      <c r="N183" s="106"/>
      <c r="O183" s="107"/>
      <c r="P183" s="26">
        <f t="shared" si="109"/>
        <v>-1460</v>
      </c>
      <c r="Q183" s="117"/>
      <c r="R183" s="117"/>
      <c r="S183" s="38">
        <f t="shared" si="110"/>
        <v>-1460</v>
      </c>
      <c r="T183" s="106"/>
      <c r="U183" s="107"/>
      <c r="V183" s="20">
        <f t="shared" si="111"/>
        <v>-1460</v>
      </c>
      <c r="W183" s="143"/>
    </row>
    <row r="184" spans="1:23" ht="15.75" customHeight="1">
      <c r="A184" s="114"/>
      <c r="B184" s="106"/>
      <c r="C184" s="107"/>
      <c r="D184" s="26">
        <f t="shared" si="105"/>
        <v>-1460</v>
      </c>
      <c r="E184" s="117"/>
      <c r="F184" s="117"/>
      <c r="G184" s="19">
        <f t="shared" si="106"/>
        <v>-1460</v>
      </c>
      <c r="H184" s="122"/>
      <c r="I184" s="123"/>
      <c r="J184" s="26">
        <f t="shared" si="107"/>
        <v>-1460</v>
      </c>
      <c r="K184" s="117"/>
      <c r="L184" s="117"/>
      <c r="M184" s="38">
        <f t="shared" si="108"/>
        <v>-1460</v>
      </c>
      <c r="N184" s="122"/>
      <c r="O184" s="123"/>
      <c r="P184" s="26">
        <f t="shared" si="109"/>
        <v>-1460</v>
      </c>
      <c r="Q184" s="117"/>
      <c r="R184" s="117"/>
      <c r="S184" s="38">
        <f t="shared" si="110"/>
        <v>-1460</v>
      </c>
      <c r="T184" s="106"/>
      <c r="U184" s="107"/>
      <c r="V184" s="20">
        <f t="shared" si="111"/>
        <v>-1460</v>
      </c>
      <c r="W184" s="143"/>
    </row>
    <row r="185" spans="1:23" ht="15.75" customHeight="1">
      <c r="A185" s="114"/>
      <c r="B185" s="106"/>
      <c r="C185" s="107"/>
      <c r="D185" s="26">
        <f t="shared" si="105"/>
        <v>-1460</v>
      </c>
      <c r="E185" s="117"/>
      <c r="F185" s="117"/>
      <c r="G185" s="19">
        <f t="shared" si="106"/>
        <v>-1460</v>
      </c>
      <c r="H185" s="122"/>
      <c r="I185" s="123"/>
      <c r="J185" s="26">
        <f t="shared" si="107"/>
        <v>-1460</v>
      </c>
      <c r="K185" s="117"/>
      <c r="L185" s="117"/>
      <c r="M185" s="38">
        <f t="shared" si="108"/>
        <v>-1460</v>
      </c>
      <c r="N185" s="122"/>
      <c r="O185" s="123"/>
      <c r="P185" s="26">
        <f t="shared" si="109"/>
        <v>-1460</v>
      </c>
      <c r="Q185" s="117"/>
      <c r="R185" s="117"/>
      <c r="S185" s="38">
        <f t="shared" si="110"/>
        <v>-1460</v>
      </c>
      <c r="T185" s="122"/>
      <c r="U185" s="124"/>
      <c r="V185" s="20">
        <f t="shared" si="111"/>
        <v>-1460</v>
      </c>
      <c r="W185" s="143"/>
    </row>
    <row r="186" spans="1:23" ht="15.75" customHeight="1">
      <c r="A186" s="114"/>
      <c r="B186" s="122"/>
      <c r="C186" s="123"/>
      <c r="D186" s="39">
        <f t="shared" si="105"/>
        <v>-1460</v>
      </c>
      <c r="E186" s="128"/>
      <c r="F186" s="128"/>
      <c r="G186" s="29">
        <f t="shared" si="106"/>
        <v>-1460</v>
      </c>
      <c r="H186" s="122"/>
      <c r="I186" s="123"/>
      <c r="J186" s="39">
        <f t="shared" si="107"/>
        <v>-1460</v>
      </c>
      <c r="K186" s="128"/>
      <c r="L186" s="128"/>
      <c r="M186" s="40">
        <f t="shared" si="108"/>
        <v>-1460</v>
      </c>
      <c r="N186" s="122"/>
      <c r="O186" s="123"/>
      <c r="P186" s="39">
        <f t="shared" si="109"/>
        <v>-1460</v>
      </c>
      <c r="Q186" s="128"/>
      <c r="R186" s="128"/>
      <c r="S186" s="40">
        <f t="shared" si="110"/>
        <v>-1460</v>
      </c>
      <c r="T186" s="122"/>
      <c r="U186" s="123"/>
      <c r="V186" s="49">
        <f t="shared" si="111"/>
        <v>-1460</v>
      </c>
      <c r="W186" s="143"/>
    </row>
    <row r="187" spans="1:23" ht="15.75" customHeight="1">
      <c r="A187" s="87"/>
      <c r="B187" s="77" t="str">
        <f ca="1">IFERROR(__xludf.DUMMYFUNCTION("DATE(VALUE(LEFT($B$2,4)),VALUE(MID($B$2,6,2)),VALUE(RIGHT($B$2,2)))
+ (VALUE(REGEXEXTRACT(INDIRECT(""A""&amp;ROW()+1),""\d+""))-1)*7
+ INT((COLUMN()-COLUMN($B187))/3)
"),"#VALUE!")</f>
        <v>#VALUE!</v>
      </c>
      <c r="C187" s="81"/>
      <c r="D187" s="82"/>
      <c r="E187" s="77" t="str">
        <f ca="1">IFERROR(__xludf.DUMMYFUNCTION("DATE(VALUE(LEFT($B$2,4)),VALUE(MID($B$2,6,2)),VALUE(RIGHT($B$2,2)))
+ (VALUE(REGEXEXTRACT(INDIRECT(""A""&amp;ROW()+1),""\d+""))-1)*7
+ INT((COLUMN()-COLUMN($B187))/3)
"),"#VALUE!")</f>
        <v>#VALUE!</v>
      </c>
      <c r="F187" s="81"/>
      <c r="G187" s="82"/>
      <c r="H187" s="77" t="str">
        <f ca="1">IFERROR(__xludf.DUMMYFUNCTION("DATE(VALUE(LEFT($B$2,4)),VALUE(MID($B$2,6,2)),VALUE(RIGHT($B$2,2)))
+ (VALUE(REGEXEXTRACT(INDIRECT(""A""&amp;ROW()+1),""\d+""))-1)*7
+ INT((COLUMN()-COLUMN($B187))/3)
"),"#VALUE!")</f>
        <v>#VALUE!</v>
      </c>
      <c r="I187" s="81"/>
      <c r="J187" s="82"/>
      <c r="K187" s="77" t="str">
        <f ca="1">IFERROR(__xludf.DUMMYFUNCTION("DATE(VALUE(LEFT($B$2,4)),VALUE(MID($B$2,6,2)),VALUE(RIGHT($B$2,2)))
+ (VALUE(REGEXEXTRACT(INDIRECT(""A""&amp;ROW()+1),""\d+""))-1)*7
+ INT((COLUMN()-COLUMN($B187))/3)
"),"#VALUE!")</f>
        <v>#VALUE!</v>
      </c>
      <c r="L187" s="81"/>
      <c r="M187" s="82"/>
      <c r="N187" s="77" t="str">
        <f ca="1">IFERROR(__xludf.DUMMYFUNCTION("DATE(VALUE(LEFT($B$2,4)),VALUE(MID($B$2,6,2)),VALUE(RIGHT($B$2,2)))
+ (VALUE(REGEXEXTRACT(INDIRECT(""A""&amp;ROW()+1),""\d+""))-1)*7
+ INT((COLUMN()-COLUMN($B187))/3)
"),"#VALUE!")</f>
        <v>#VALUE!</v>
      </c>
      <c r="O187" s="81"/>
      <c r="P187" s="82"/>
      <c r="Q187" s="77" t="str">
        <f ca="1">IFERROR(__xludf.DUMMYFUNCTION("DATE(VALUE(LEFT($B$2,4)),VALUE(MID($B$2,6,2)),VALUE(RIGHT($B$2,2)))
+ (VALUE(REGEXEXTRACT(INDIRECT(""A""&amp;ROW()+1),""\d+""))-1)*7
+ INT((COLUMN()-COLUMN($B187))/3)
"),"#VALUE!")</f>
        <v>#VALUE!</v>
      </c>
      <c r="R187" s="81"/>
      <c r="S187" s="82"/>
      <c r="T187" s="77" t="str">
        <f ca="1">IFERROR(__xludf.DUMMYFUNCTION("DATE(VALUE(LEFT($B$2,4)),VALUE(MID($B$2,6,2)),VALUE(RIGHT($B$2,2)))
+ (VALUE(REGEXEXTRACT(INDIRECT(""A""&amp;ROW()+1),""\d+""))-1)*7
+ INT((COLUMN()-COLUMN($B187))/3)
"),"#VALUE!")</f>
        <v>#VALUE!</v>
      </c>
      <c r="U187" s="81"/>
      <c r="V187" s="82"/>
      <c r="W187" s="52" t="s">
        <v>20</v>
      </c>
    </row>
    <row r="188" spans="1:23" ht="15.75" customHeight="1">
      <c r="A188" s="47" t="s">
        <v>152</v>
      </c>
      <c r="B188" s="113"/>
      <c r="C188" s="109"/>
      <c r="D188" s="42">
        <f>V186+C188</f>
        <v>-1460</v>
      </c>
      <c r="E188" s="112"/>
      <c r="F188" s="111"/>
      <c r="G188" s="36">
        <f>D198+F188</f>
        <v>-1460</v>
      </c>
      <c r="H188" s="132"/>
      <c r="I188" s="109"/>
      <c r="J188" s="42">
        <f>G198+I188</f>
        <v>-1460</v>
      </c>
      <c r="K188" s="112"/>
      <c r="L188" s="111"/>
      <c r="M188" s="18">
        <f>J198+L188</f>
        <v>-1460</v>
      </c>
      <c r="N188" s="113"/>
      <c r="O188" s="109"/>
      <c r="P188" s="35">
        <f>M198+O188</f>
        <v>-1460</v>
      </c>
      <c r="Q188" s="112"/>
      <c r="R188" s="111"/>
      <c r="S188" s="18">
        <f>P198+R188</f>
        <v>-1460</v>
      </c>
      <c r="T188" s="113"/>
      <c r="U188" s="109"/>
      <c r="V188" s="50">
        <f>S198+U188</f>
        <v>-1460</v>
      </c>
      <c r="W188" s="172"/>
    </row>
    <row r="189" spans="1:23" ht="15.75" customHeight="1">
      <c r="A189" s="114"/>
      <c r="B189" s="118"/>
      <c r="C189" s="117"/>
      <c r="D189" s="19">
        <f t="shared" ref="D189:D198" si="112">D188+C189</f>
        <v>-1460</v>
      </c>
      <c r="E189" s="106"/>
      <c r="F189" s="107"/>
      <c r="G189" s="26">
        <f t="shared" ref="G189:G198" si="113">G188+F189</f>
        <v>-1460</v>
      </c>
      <c r="H189" s="133"/>
      <c r="I189" s="117"/>
      <c r="J189" s="19">
        <f t="shared" ref="J189:J198" si="114">J188+I189</f>
        <v>-1460</v>
      </c>
      <c r="K189" s="106"/>
      <c r="L189" s="107"/>
      <c r="M189" s="26">
        <f t="shared" ref="M189:M198" si="115">M188+L189</f>
        <v>-1460</v>
      </c>
      <c r="N189" s="117"/>
      <c r="O189" s="117"/>
      <c r="P189" s="38">
        <f t="shared" ref="P189:P198" si="116">P188+O189</f>
        <v>-1460</v>
      </c>
      <c r="Q189" s="106"/>
      <c r="R189" s="107"/>
      <c r="S189" s="26">
        <f t="shared" ref="S189:S198" si="117">S188+R189</f>
        <v>-1460</v>
      </c>
      <c r="T189" s="136"/>
      <c r="U189" s="136"/>
      <c r="V189" s="45">
        <f t="shared" ref="V189:V198" si="118">V188+U189</f>
        <v>-1460</v>
      </c>
      <c r="W189" s="143"/>
    </row>
    <row r="190" spans="1:23" ht="15.75" customHeight="1">
      <c r="A190" s="114"/>
      <c r="B190" s="118"/>
      <c r="C190" s="117"/>
      <c r="D190" s="19">
        <f t="shared" si="112"/>
        <v>-1460</v>
      </c>
      <c r="E190" s="106"/>
      <c r="F190" s="107"/>
      <c r="G190" s="26">
        <f t="shared" si="113"/>
        <v>-1460</v>
      </c>
      <c r="H190" s="133"/>
      <c r="I190" s="117"/>
      <c r="J190" s="19">
        <f t="shared" si="114"/>
        <v>-1460</v>
      </c>
      <c r="K190" s="106"/>
      <c r="L190" s="107"/>
      <c r="M190" s="26">
        <f t="shared" si="115"/>
        <v>-1460</v>
      </c>
      <c r="N190" s="117"/>
      <c r="O190" s="117"/>
      <c r="P190" s="38">
        <f t="shared" si="116"/>
        <v>-1460</v>
      </c>
      <c r="Q190" s="106"/>
      <c r="R190" s="107"/>
      <c r="S190" s="26">
        <f t="shared" si="117"/>
        <v>-1460</v>
      </c>
      <c r="T190" s="136"/>
      <c r="U190" s="136"/>
      <c r="V190" s="45">
        <f t="shared" si="118"/>
        <v>-1460</v>
      </c>
      <c r="W190" s="143"/>
    </row>
    <row r="191" spans="1:23" ht="15.75" customHeight="1">
      <c r="A191" s="114"/>
      <c r="B191" s="118"/>
      <c r="C191" s="117"/>
      <c r="D191" s="19">
        <f t="shared" si="112"/>
        <v>-1460</v>
      </c>
      <c r="E191" s="106"/>
      <c r="F191" s="107"/>
      <c r="G191" s="26">
        <f t="shared" si="113"/>
        <v>-1460</v>
      </c>
      <c r="H191" s="133"/>
      <c r="I191" s="117"/>
      <c r="J191" s="19">
        <f t="shared" si="114"/>
        <v>-1460</v>
      </c>
      <c r="K191" s="106"/>
      <c r="L191" s="107"/>
      <c r="M191" s="26">
        <f t="shared" si="115"/>
        <v>-1460</v>
      </c>
      <c r="N191" s="117"/>
      <c r="O191" s="117"/>
      <c r="P191" s="38">
        <f t="shared" si="116"/>
        <v>-1460</v>
      </c>
      <c r="Q191" s="106"/>
      <c r="R191" s="107"/>
      <c r="S191" s="26">
        <f t="shared" si="117"/>
        <v>-1460</v>
      </c>
      <c r="T191" s="136"/>
      <c r="U191" s="136"/>
      <c r="V191" s="45">
        <f t="shared" si="118"/>
        <v>-1460</v>
      </c>
      <c r="W191" s="143"/>
    </row>
    <row r="192" spans="1:23" ht="15.75" customHeight="1">
      <c r="A192" s="114"/>
      <c r="B192" s="118"/>
      <c r="C192" s="117"/>
      <c r="D192" s="19">
        <f t="shared" si="112"/>
        <v>-1460</v>
      </c>
      <c r="E192" s="106"/>
      <c r="F192" s="107"/>
      <c r="G192" s="26">
        <f t="shared" si="113"/>
        <v>-1460</v>
      </c>
      <c r="H192" s="133"/>
      <c r="I192" s="117"/>
      <c r="J192" s="19">
        <f t="shared" si="114"/>
        <v>-1460</v>
      </c>
      <c r="K192" s="106"/>
      <c r="L192" s="107"/>
      <c r="M192" s="26">
        <f t="shared" si="115"/>
        <v>-1460</v>
      </c>
      <c r="N192" s="117"/>
      <c r="O192" s="117"/>
      <c r="P192" s="38">
        <f t="shared" si="116"/>
        <v>-1460</v>
      </c>
      <c r="Q192" s="106"/>
      <c r="R192" s="107"/>
      <c r="S192" s="26">
        <f t="shared" si="117"/>
        <v>-1460</v>
      </c>
      <c r="T192" s="136"/>
      <c r="U192" s="136"/>
      <c r="V192" s="45">
        <f t="shared" si="118"/>
        <v>-1460</v>
      </c>
      <c r="W192" s="143"/>
    </row>
    <row r="193" spans="1:23" ht="15.75" customHeight="1">
      <c r="A193" s="114"/>
      <c r="B193" s="118"/>
      <c r="C193" s="117"/>
      <c r="D193" s="19">
        <f t="shared" si="112"/>
        <v>-1460</v>
      </c>
      <c r="E193" s="106"/>
      <c r="F193" s="107"/>
      <c r="G193" s="26">
        <f t="shared" si="113"/>
        <v>-1460</v>
      </c>
      <c r="H193" s="133"/>
      <c r="I193" s="117"/>
      <c r="J193" s="19">
        <f t="shared" si="114"/>
        <v>-1460</v>
      </c>
      <c r="K193" s="106"/>
      <c r="L193" s="107"/>
      <c r="M193" s="26">
        <f t="shared" si="115"/>
        <v>-1460</v>
      </c>
      <c r="N193" s="118"/>
      <c r="O193" s="117"/>
      <c r="P193" s="38">
        <f t="shared" si="116"/>
        <v>-1460</v>
      </c>
      <c r="Q193" s="106"/>
      <c r="R193" s="107"/>
      <c r="S193" s="26">
        <f t="shared" si="117"/>
        <v>-1460</v>
      </c>
      <c r="T193" s="136"/>
      <c r="U193" s="136"/>
      <c r="V193" s="45">
        <f t="shared" si="118"/>
        <v>-1460</v>
      </c>
      <c r="W193" s="143"/>
    </row>
    <row r="194" spans="1:23" ht="15.75" customHeight="1">
      <c r="A194" s="114"/>
      <c r="B194" s="117"/>
      <c r="C194" s="117"/>
      <c r="D194" s="19">
        <f t="shared" si="112"/>
        <v>-1460</v>
      </c>
      <c r="E194" s="106"/>
      <c r="F194" s="107"/>
      <c r="G194" s="26">
        <f t="shared" si="113"/>
        <v>-1460</v>
      </c>
      <c r="H194" s="133"/>
      <c r="I194" s="117"/>
      <c r="J194" s="19">
        <f t="shared" si="114"/>
        <v>-1460</v>
      </c>
      <c r="K194" s="106"/>
      <c r="L194" s="107"/>
      <c r="M194" s="26">
        <f t="shared" si="115"/>
        <v>-1460</v>
      </c>
      <c r="N194" s="117"/>
      <c r="O194" s="117"/>
      <c r="P194" s="38">
        <f t="shared" si="116"/>
        <v>-1460</v>
      </c>
      <c r="Q194" s="106"/>
      <c r="R194" s="107"/>
      <c r="S194" s="26">
        <f t="shared" si="117"/>
        <v>-1460</v>
      </c>
      <c r="T194" s="136"/>
      <c r="U194" s="136"/>
      <c r="V194" s="45">
        <f t="shared" si="118"/>
        <v>-1460</v>
      </c>
      <c r="W194" s="143"/>
    </row>
    <row r="195" spans="1:23" ht="15.75" customHeight="1">
      <c r="A195" s="114"/>
      <c r="B195" s="117"/>
      <c r="C195" s="117"/>
      <c r="D195" s="19">
        <f t="shared" si="112"/>
        <v>-1460</v>
      </c>
      <c r="E195" s="106"/>
      <c r="F195" s="107"/>
      <c r="G195" s="26">
        <f t="shared" si="113"/>
        <v>-1460</v>
      </c>
      <c r="H195" s="133"/>
      <c r="I195" s="117"/>
      <c r="J195" s="19">
        <f t="shared" si="114"/>
        <v>-1460</v>
      </c>
      <c r="K195" s="106"/>
      <c r="L195" s="107"/>
      <c r="M195" s="26">
        <f t="shared" si="115"/>
        <v>-1460</v>
      </c>
      <c r="N195" s="117"/>
      <c r="O195" s="117"/>
      <c r="P195" s="38">
        <f t="shared" si="116"/>
        <v>-1460</v>
      </c>
      <c r="Q195" s="106"/>
      <c r="R195" s="107"/>
      <c r="S195" s="26">
        <f t="shared" si="117"/>
        <v>-1460</v>
      </c>
      <c r="T195" s="136"/>
      <c r="U195" s="136"/>
      <c r="V195" s="45">
        <f t="shared" si="118"/>
        <v>-1460</v>
      </c>
      <c r="W195" s="143"/>
    </row>
    <row r="196" spans="1:23" ht="15.75" customHeight="1">
      <c r="A196" s="114"/>
      <c r="B196" s="117"/>
      <c r="C196" s="117"/>
      <c r="D196" s="19">
        <f t="shared" si="112"/>
        <v>-1460</v>
      </c>
      <c r="E196" s="106"/>
      <c r="F196" s="107"/>
      <c r="G196" s="26">
        <f t="shared" si="113"/>
        <v>-1460</v>
      </c>
      <c r="H196" s="133"/>
      <c r="I196" s="117"/>
      <c r="J196" s="19">
        <f t="shared" si="114"/>
        <v>-1460</v>
      </c>
      <c r="K196" s="106"/>
      <c r="L196" s="107"/>
      <c r="M196" s="26">
        <f t="shared" si="115"/>
        <v>-1460</v>
      </c>
      <c r="N196" s="117"/>
      <c r="O196" s="117"/>
      <c r="P196" s="38">
        <f t="shared" si="116"/>
        <v>-1460</v>
      </c>
      <c r="Q196" s="106"/>
      <c r="R196" s="107"/>
      <c r="S196" s="26">
        <f t="shared" si="117"/>
        <v>-1460</v>
      </c>
      <c r="T196" s="136"/>
      <c r="U196" s="136"/>
      <c r="V196" s="45">
        <f t="shared" si="118"/>
        <v>-1460</v>
      </c>
      <c r="W196" s="143"/>
    </row>
    <row r="197" spans="1:23" ht="15.75" customHeight="1">
      <c r="A197" s="114"/>
      <c r="B197" s="117"/>
      <c r="C197" s="117"/>
      <c r="D197" s="19">
        <f t="shared" si="112"/>
        <v>-1460</v>
      </c>
      <c r="E197" s="122"/>
      <c r="F197" s="123"/>
      <c r="G197" s="26">
        <f t="shared" si="113"/>
        <v>-1460</v>
      </c>
      <c r="H197" s="133"/>
      <c r="I197" s="117"/>
      <c r="J197" s="19">
        <f t="shared" si="114"/>
        <v>-1460</v>
      </c>
      <c r="K197" s="122"/>
      <c r="L197" s="123"/>
      <c r="M197" s="26">
        <f t="shared" si="115"/>
        <v>-1460</v>
      </c>
      <c r="N197" s="117"/>
      <c r="O197" s="117"/>
      <c r="P197" s="38">
        <f t="shared" si="116"/>
        <v>-1460</v>
      </c>
      <c r="Q197" s="122"/>
      <c r="R197" s="123"/>
      <c r="S197" s="26">
        <f t="shared" si="117"/>
        <v>-1460</v>
      </c>
      <c r="T197" s="136"/>
      <c r="U197" s="136"/>
      <c r="V197" s="45">
        <f t="shared" si="118"/>
        <v>-1460</v>
      </c>
      <c r="W197" s="143"/>
    </row>
    <row r="198" spans="1:23" ht="15.75" customHeight="1">
      <c r="A198" s="114"/>
      <c r="B198" s="128"/>
      <c r="C198" s="128"/>
      <c r="D198" s="29">
        <f t="shared" si="112"/>
        <v>-1460</v>
      </c>
      <c r="E198" s="122"/>
      <c r="F198" s="123"/>
      <c r="G198" s="39">
        <f t="shared" si="113"/>
        <v>-1460</v>
      </c>
      <c r="H198" s="140"/>
      <c r="I198" s="128"/>
      <c r="J198" s="29">
        <f t="shared" si="114"/>
        <v>-1460</v>
      </c>
      <c r="K198" s="122"/>
      <c r="L198" s="123"/>
      <c r="M198" s="39">
        <f t="shared" si="115"/>
        <v>-1460</v>
      </c>
      <c r="N198" s="128"/>
      <c r="O198" s="128"/>
      <c r="P198" s="40">
        <f t="shared" si="116"/>
        <v>-1460</v>
      </c>
      <c r="Q198" s="122"/>
      <c r="R198" s="123"/>
      <c r="S198" s="39">
        <f t="shared" si="117"/>
        <v>-1460</v>
      </c>
      <c r="T198" s="141"/>
      <c r="U198" s="141"/>
      <c r="V198" s="46">
        <f t="shared" si="118"/>
        <v>-1460</v>
      </c>
      <c r="W198" s="143"/>
    </row>
    <row r="199" spans="1:23" ht="15.75" customHeight="1">
      <c r="A199" s="87"/>
      <c r="B199" s="77" t="str">
        <f ca="1">IFERROR(__xludf.DUMMYFUNCTION("DATE(VALUE(LEFT($B$2,4)),VALUE(MID($B$2,6,2)),VALUE(RIGHT($B$2,2)))
+ (VALUE(REGEXEXTRACT(INDIRECT(""A""&amp;ROW()+1),""\d+""))-1)*7
+ INT((COLUMN()-COLUMN($B199))/3)
"),"#VALUE!")</f>
        <v>#VALUE!</v>
      </c>
      <c r="C199" s="81"/>
      <c r="D199" s="82"/>
      <c r="E199" s="77" t="str">
        <f ca="1">IFERROR(__xludf.DUMMYFUNCTION("DATE(VALUE(LEFT($B$2,4)),VALUE(MID($B$2,6,2)),VALUE(RIGHT($B$2,2)))
+ (VALUE(REGEXEXTRACT(INDIRECT(""A""&amp;ROW()+1),""\d+""))-1)*7
+ INT((COLUMN()-COLUMN($B199))/3)
"),"#VALUE!")</f>
        <v>#VALUE!</v>
      </c>
      <c r="F199" s="81"/>
      <c r="G199" s="82"/>
      <c r="H199" s="77" t="str">
        <f ca="1">IFERROR(__xludf.DUMMYFUNCTION("DATE(VALUE(LEFT($B$2,4)),VALUE(MID($B$2,6,2)),VALUE(RIGHT($B$2,2)))
+ (VALUE(REGEXEXTRACT(INDIRECT(""A""&amp;ROW()+1),""\d+""))-1)*7
+ INT((COLUMN()-COLUMN($B199))/3)
"),"#VALUE!")</f>
        <v>#VALUE!</v>
      </c>
      <c r="I199" s="81"/>
      <c r="J199" s="82"/>
      <c r="K199" s="77" t="str">
        <f ca="1">IFERROR(__xludf.DUMMYFUNCTION("DATE(VALUE(LEFT($B$2,4)),VALUE(MID($B$2,6,2)),VALUE(RIGHT($B$2,2)))
+ (VALUE(REGEXEXTRACT(INDIRECT(""A""&amp;ROW()+1),""\d+""))-1)*7
+ INT((COLUMN()-COLUMN($B199))/3)
"),"#VALUE!")</f>
        <v>#VALUE!</v>
      </c>
      <c r="L199" s="81"/>
      <c r="M199" s="82"/>
      <c r="N199" s="77" t="str">
        <f ca="1">IFERROR(__xludf.DUMMYFUNCTION("DATE(VALUE(LEFT($B$2,4)),VALUE(MID($B$2,6,2)),VALUE(RIGHT($B$2,2)))
+ (VALUE(REGEXEXTRACT(INDIRECT(""A""&amp;ROW()+1),""\d+""))-1)*7
+ INT((COLUMN()-COLUMN($B199))/3)
"),"#VALUE!")</f>
        <v>#VALUE!</v>
      </c>
      <c r="O199" s="81"/>
      <c r="P199" s="82"/>
      <c r="Q199" s="77" t="str">
        <f ca="1">IFERROR(__xludf.DUMMYFUNCTION("DATE(VALUE(LEFT($B$2,4)),VALUE(MID($B$2,6,2)),VALUE(RIGHT($B$2,2)))
+ (VALUE(REGEXEXTRACT(INDIRECT(""A""&amp;ROW()+1),""\d+""))-1)*7
+ INT((COLUMN()-COLUMN($B199))/3)
"),"#VALUE!")</f>
        <v>#VALUE!</v>
      </c>
      <c r="R199" s="81"/>
      <c r="S199" s="82"/>
      <c r="T199" s="77" t="str">
        <f ca="1">IFERROR(__xludf.DUMMYFUNCTION("DATE(VALUE(LEFT($B$2,4)),VALUE(MID($B$2,6,2)),VALUE(RIGHT($B$2,2)))
+ (VALUE(REGEXEXTRACT(INDIRECT(""A""&amp;ROW()+1),""\d+""))-1)*7
+ INT((COLUMN()-COLUMN($B199))/3)
"),"#VALUE!")</f>
        <v>#VALUE!</v>
      </c>
      <c r="U199" s="81"/>
      <c r="V199" s="82"/>
      <c r="W199" s="143"/>
    </row>
    <row r="200" spans="1:23" ht="15.75" customHeight="1">
      <c r="A200" s="51" t="s">
        <v>29</v>
      </c>
      <c r="B200" s="112"/>
      <c r="C200" s="111"/>
      <c r="D200" s="17">
        <f>V198+C200</f>
        <v>-1460</v>
      </c>
      <c r="E200" s="109"/>
      <c r="F200" s="109"/>
      <c r="G200" s="54">
        <f>D210+F200</f>
        <v>-1460</v>
      </c>
      <c r="H200" s="110"/>
      <c r="I200" s="111"/>
      <c r="J200" s="17">
        <f>G210+I200</f>
        <v>-1460</v>
      </c>
      <c r="K200" s="109"/>
      <c r="L200" s="109"/>
      <c r="M200" s="35">
        <f>J210+L200</f>
        <v>-1460</v>
      </c>
      <c r="N200" s="112"/>
      <c r="O200" s="111"/>
      <c r="P200" s="17">
        <f>M210+O200</f>
        <v>-1460</v>
      </c>
      <c r="Q200" s="113"/>
      <c r="R200" s="109"/>
      <c r="S200" s="35">
        <f>P210+R200</f>
        <v>-1460</v>
      </c>
      <c r="T200" s="112"/>
      <c r="U200" s="111"/>
      <c r="V200" s="48">
        <f>S210+U200</f>
        <v>-1460</v>
      </c>
      <c r="W200" s="143"/>
    </row>
    <row r="201" spans="1:23" ht="15.75" customHeight="1">
      <c r="A201" s="114"/>
      <c r="B201" s="106"/>
      <c r="C201" s="107"/>
      <c r="D201" s="26">
        <f t="shared" ref="D201:D210" si="119">D200+C201</f>
        <v>-1460</v>
      </c>
      <c r="E201" s="117"/>
      <c r="F201" s="117"/>
      <c r="G201" s="19">
        <f t="shared" ref="G201:G210" si="120">G200+F201</f>
        <v>-1460</v>
      </c>
      <c r="H201" s="116"/>
      <c r="I201" s="107"/>
      <c r="J201" s="26">
        <f t="shared" ref="J201:J210" si="121">J200+I201</f>
        <v>-1460</v>
      </c>
      <c r="K201" s="117"/>
      <c r="L201" s="117"/>
      <c r="M201" s="38">
        <f t="shared" ref="M201:M210" si="122">M200+L201</f>
        <v>-1460</v>
      </c>
      <c r="N201" s="106"/>
      <c r="O201" s="107"/>
      <c r="P201" s="26">
        <f t="shared" ref="P201:P210" si="123">P200+O201</f>
        <v>-1460</v>
      </c>
      <c r="Q201" s="118"/>
      <c r="R201" s="117"/>
      <c r="S201" s="38">
        <f t="shared" ref="S201:S210" si="124">S200+R201</f>
        <v>-1460</v>
      </c>
      <c r="T201" s="106"/>
      <c r="U201" s="107"/>
      <c r="V201" s="20">
        <f t="shared" ref="V201:V210" si="125">V200+U201</f>
        <v>-1460</v>
      </c>
      <c r="W201" s="143"/>
    </row>
    <row r="202" spans="1:23" ht="15.75" customHeight="1">
      <c r="A202" s="114"/>
      <c r="B202" s="106"/>
      <c r="C202" s="107"/>
      <c r="D202" s="26">
        <f t="shared" si="119"/>
        <v>-1460</v>
      </c>
      <c r="E202" s="117"/>
      <c r="F202" s="117"/>
      <c r="G202" s="19">
        <f t="shared" si="120"/>
        <v>-1460</v>
      </c>
      <c r="H202" s="106"/>
      <c r="I202" s="107"/>
      <c r="J202" s="26">
        <f t="shared" si="121"/>
        <v>-1460</v>
      </c>
      <c r="K202" s="117"/>
      <c r="L202" s="117"/>
      <c r="M202" s="38">
        <f t="shared" si="122"/>
        <v>-1460</v>
      </c>
      <c r="N202" s="106"/>
      <c r="O202" s="107"/>
      <c r="P202" s="26">
        <f t="shared" si="123"/>
        <v>-1460</v>
      </c>
      <c r="Q202" s="118"/>
      <c r="R202" s="117"/>
      <c r="S202" s="38">
        <f t="shared" si="124"/>
        <v>-1460</v>
      </c>
      <c r="T202" s="106"/>
      <c r="U202" s="107"/>
      <c r="V202" s="20">
        <f t="shared" si="125"/>
        <v>-1460</v>
      </c>
      <c r="W202" s="143"/>
    </row>
    <row r="203" spans="1:23" ht="15.75" customHeight="1">
      <c r="A203" s="114"/>
      <c r="B203" s="106"/>
      <c r="C203" s="107"/>
      <c r="D203" s="26">
        <f t="shared" si="119"/>
        <v>-1460</v>
      </c>
      <c r="E203" s="117"/>
      <c r="F203" s="117"/>
      <c r="G203" s="19">
        <f t="shared" si="120"/>
        <v>-1460</v>
      </c>
      <c r="H203" s="106"/>
      <c r="I203" s="107"/>
      <c r="J203" s="26">
        <f t="shared" si="121"/>
        <v>-1460</v>
      </c>
      <c r="K203" s="117"/>
      <c r="L203" s="117"/>
      <c r="M203" s="38">
        <f t="shared" si="122"/>
        <v>-1460</v>
      </c>
      <c r="N203" s="106"/>
      <c r="O203" s="107"/>
      <c r="P203" s="26">
        <f t="shared" si="123"/>
        <v>-1460</v>
      </c>
      <c r="Q203" s="118"/>
      <c r="R203" s="117"/>
      <c r="S203" s="38">
        <f t="shared" si="124"/>
        <v>-1460</v>
      </c>
      <c r="T203" s="106"/>
      <c r="U203" s="107"/>
      <c r="V203" s="20">
        <f t="shared" si="125"/>
        <v>-1460</v>
      </c>
      <c r="W203" s="143"/>
    </row>
    <row r="204" spans="1:23" ht="15.75" customHeight="1">
      <c r="A204" s="114"/>
      <c r="B204" s="106"/>
      <c r="C204" s="107"/>
      <c r="D204" s="26">
        <f t="shared" si="119"/>
        <v>-1460</v>
      </c>
      <c r="E204" s="117"/>
      <c r="F204" s="117"/>
      <c r="G204" s="19">
        <f t="shared" si="120"/>
        <v>-1460</v>
      </c>
      <c r="H204" s="106"/>
      <c r="I204" s="107"/>
      <c r="J204" s="26">
        <f t="shared" si="121"/>
        <v>-1460</v>
      </c>
      <c r="K204" s="117"/>
      <c r="L204" s="117"/>
      <c r="M204" s="38">
        <f t="shared" si="122"/>
        <v>-1460</v>
      </c>
      <c r="N204" s="106"/>
      <c r="O204" s="107"/>
      <c r="P204" s="26">
        <f t="shared" si="123"/>
        <v>-1460</v>
      </c>
      <c r="Q204" s="118"/>
      <c r="R204" s="117"/>
      <c r="S204" s="38">
        <f t="shared" si="124"/>
        <v>-1460</v>
      </c>
      <c r="T204" s="106"/>
      <c r="U204" s="107"/>
      <c r="V204" s="20">
        <f t="shared" si="125"/>
        <v>-1460</v>
      </c>
      <c r="W204" s="143"/>
    </row>
    <row r="205" spans="1:23" ht="15.75" customHeight="1">
      <c r="A205" s="114"/>
      <c r="B205" s="106"/>
      <c r="C205" s="107"/>
      <c r="D205" s="26">
        <f t="shared" si="119"/>
        <v>-1460</v>
      </c>
      <c r="E205" s="117"/>
      <c r="F205" s="117"/>
      <c r="G205" s="19">
        <f t="shared" si="120"/>
        <v>-1460</v>
      </c>
      <c r="H205" s="106"/>
      <c r="I205" s="107"/>
      <c r="J205" s="26">
        <f t="shared" si="121"/>
        <v>-1460</v>
      </c>
      <c r="K205" s="117"/>
      <c r="L205" s="117"/>
      <c r="M205" s="38">
        <f t="shared" si="122"/>
        <v>-1460</v>
      </c>
      <c r="N205" s="106"/>
      <c r="O205" s="107"/>
      <c r="P205" s="26">
        <f t="shared" si="123"/>
        <v>-1460</v>
      </c>
      <c r="Q205" s="118"/>
      <c r="R205" s="117"/>
      <c r="S205" s="38">
        <f t="shared" si="124"/>
        <v>-1460</v>
      </c>
      <c r="T205" s="106"/>
      <c r="U205" s="116"/>
      <c r="V205" s="20">
        <f t="shared" si="125"/>
        <v>-1460</v>
      </c>
      <c r="W205" s="143"/>
    </row>
    <row r="206" spans="1:23" ht="15.75" customHeight="1">
      <c r="A206" s="114"/>
      <c r="B206" s="106"/>
      <c r="C206" s="107"/>
      <c r="D206" s="26">
        <f t="shared" si="119"/>
        <v>-1460</v>
      </c>
      <c r="E206" s="117"/>
      <c r="F206" s="117"/>
      <c r="G206" s="19">
        <f t="shared" si="120"/>
        <v>-1460</v>
      </c>
      <c r="H206" s="106"/>
      <c r="I206" s="107"/>
      <c r="J206" s="26">
        <f t="shared" si="121"/>
        <v>-1460</v>
      </c>
      <c r="K206" s="117"/>
      <c r="L206" s="117"/>
      <c r="M206" s="38">
        <f t="shared" si="122"/>
        <v>-1460</v>
      </c>
      <c r="N206" s="106"/>
      <c r="O206" s="107"/>
      <c r="P206" s="26">
        <f t="shared" si="123"/>
        <v>-1460</v>
      </c>
      <c r="Q206" s="117"/>
      <c r="R206" s="117"/>
      <c r="S206" s="38">
        <f t="shared" si="124"/>
        <v>-1460</v>
      </c>
      <c r="T206" s="106"/>
      <c r="U206" s="116"/>
      <c r="V206" s="20">
        <f t="shared" si="125"/>
        <v>-1460</v>
      </c>
      <c r="W206" s="143"/>
    </row>
    <row r="207" spans="1:23" ht="15.75" customHeight="1">
      <c r="A207" s="114"/>
      <c r="B207" s="106"/>
      <c r="C207" s="107"/>
      <c r="D207" s="26">
        <f t="shared" si="119"/>
        <v>-1460</v>
      </c>
      <c r="E207" s="117"/>
      <c r="F207" s="117"/>
      <c r="G207" s="19">
        <f t="shared" si="120"/>
        <v>-1460</v>
      </c>
      <c r="H207" s="106"/>
      <c r="I207" s="107"/>
      <c r="J207" s="26">
        <f t="shared" si="121"/>
        <v>-1460</v>
      </c>
      <c r="K207" s="117"/>
      <c r="L207" s="117"/>
      <c r="M207" s="38">
        <f t="shared" si="122"/>
        <v>-1460</v>
      </c>
      <c r="N207" s="106"/>
      <c r="O207" s="107"/>
      <c r="P207" s="26">
        <f t="shared" si="123"/>
        <v>-1460</v>
      </c>
      <c r="Q207" s="118"/>
      <c r="R207" s="117"/>
      <c r="S207" s="38">
        <f t="shared" si="124"/>
        <v>-1460</v>
      </c>
      <c r="T207" s="106"/>
      <c r="U207" s="116"/>
      <c r="V207" s="20">
        <f t="shared" si="125"/>
        <v>-1460</v>
      </c>
      <c r="W207" s="143"/>
    </row>
    <row r="208" spans="1:23" ht="15.75" customHeight="1">
      <c r="A208" s="114"/>
      <c r="B208" s="122"/>
      <c r="C208" s="123"/>
      <c r="D208" s="26">
        <f t="shared" si="119"/>
        <v>-1460</v>
      </c>
      <c r="E208" s="117"/>
      <c r="F208" s="117"/>
      <c r="G208" s="19">
        <f t="shared" si="120"/>
        <v>-1460</v>
      </c>
      <c r="H208" s="122"/>
      <c r="I208" s="123"/>
      <c r="J208" s="26">
        <f t="shared" si="121"/>
        <v>-1460</v>
      </c>
      <c r="K208" s="117"/>
      <c r="L208" s="117"/>
      <c r="M208" s="38">
        <f t="shared" si="122"/>
        <v>-1460</v>
      </c>
      <c r="N208" s="106"/>
      <c r="O208" s="107"/>
      <c r="P208" s="26">
        <f t="shared" si="123"/>
        <v>-1460</v>
      </c>
      <c r="Q208" s="118"/>
      <c r="R208" s="117"/>
      <c r="S208" s="38">
        <f t="shared" si="124"/>
        <v>-1460</v>
      </c>
      <c r="T208" s="106"/>
      <c r="U208" s="116"/>
      <c r="V208" s="20">
        <f t="shared" si="125"/>
        <v>-1460</v>
      </c>
      <c r="W208" s="143"/>
    </row>
    <row r="209" spans="1:23" ht="15.75" customHeight="1">
      <c r="A209" s="114"/>
      <c r="B209" s="122"/>
      <c r="C209" s="123"/>
      <c r="D209" s="26">
        <f t="shared" si="119"/>
        <v>-1460</v>
      </c>
      <c r="E209" s="117"/>
      <c r="F209" s="117"/>
      <c r="G209" s="19">
        <f t="shared" si="120"/>
        <v>-1460</v>
      </c>
      <c r="H209" s="122"/>
      <c r="I209" s="123"/>
      <c r="J209" s="26">
        <f t="shared" si="121"/>
        <v>-1460</v>
      </c>
      <c r="K209" s="117"/>
      <c r="L209" s="117"/>
      <c r="M209" s="38">
        <f t="shared" si="122"/>
        <v>-1460</v>
      </c>
      <c r="N209" s="122"/>
      <c r="O209" s="123"/>
      <c r="P209" s="26">
        <f t="shared" si="123"/>
        <v>-1460</v>
      </c>
      <c r="Q209" s="117"/>
      <c r="R209" s="117"/>
      <c r="S209" s="38">
        <f t="shared" si="124"/>
        <v>-1460</v>
      </c>
      <c r="T209" s="122"/>
      <c r="U209" s="124"/>
      <c r="V209" s="20">
        <f t="shared" si="125"/>
        <v>-1460</v>
      </c>
      <c r="W209" s="143"/>
    </row>
    <row r="210" spans="1:23" ht="15.75" customHeight="1">
      <c r="A210" s="114"/>
      <c r="B210" s="122"/>
      <c r="C210" s="123"/>
      <c r="D210" s="39">
        <f t="shared" si="119"/>
        <v>-1460</v>
      </c>
      <c r="E210" s="128"/>
      <c r="F210" s="128"/>
      <c r="G210" s="29">
        <f t="shared" si="120"/>
        <v>-1460</v>
      </c>
      <c r="H210" s="122"/>
      <c r="I210" s="123"/>
      <c r="J210" s="39">
        <f t="shared" si="121"/>
        <v>-1460</v>
      </c>
      <c r="K210" s="128"/>
      <c r="L210" s="128"/>
      <c r="M210" s="40">
        <f t="shared" si="122"/>
        <v>-1460</v>
      </c>
      <c r="N210" s="122"/>
      <c r="O210" s="123"/>
      <c r="P210" s="39">
        <f t="shared" si="123"/>
        <v>-1460</v>
      </c>
      <c r="Q210" s="128"/>
      <c r="R210" s="128"/>
      <c r="S210" s="40">
        <f t="shared" si="124"/>
        <v>-1460</v>
      </c>
      <c r="T210" s="122"/>
      <c r="U210" s="123"/>
      <c r="V210" s="49">
        <f t="shared" si="125"/>
        <v>-1460</v>
      </c>
      <c r="W210" s="143"/>
    </row>
    <row r="211" spans="1:23" ht="15.75" customHeight="1">
      <c r="A211" s="87"/>
      <c r="B211" s="77" t="str">
        <f ca="1">IFERROR(__xludf.DUMMYFUNCTION("DATE(VALUE(LEFT($B$2,4)),VALUE(MID($B$2,6,2)),VALUE(RIGHT($B$2,2)))
+ (VALUE(REGEXEXTRACT(INDIRECT(""A""&amp;ROW()+1),""\d+""))-1)*7
+ INT((COLUMN()-COLUMN($B211))/3)
"),"#VALUE!")</f>
        <v>#VALUE!</v>
      </c>
      <c r="C211" s="81"/>
      <c r="D211" s="82"/>
      <c r="E211" s="77" t="str">
        <f ca="1">IFERROR(__xludf.DUMMYFUNCTION("DATE(VALUE(LEFT($B$2,4)),VALUE(MID($B$2,6,2)),VALUE(RIGHT($B$2,2)))
+ (VALUE(REGEXEXTRACT(INDIRECT(""A""&amp;ROW()+1),""\d+""))-1)*7
+ INT((COLUMN()-COLUMN($B211))/3)
"),"#VALUE!")</f>
        <v>#VALUE!</v>
      </c>
      <c r="F211" s="81"/>
      <c r="G211" s="82"/>
      <c r="H211" s="77" t="str">
        <f ca="1">IFERROR(__xludf.DUMMYFUNCTION("DATE(VALUE(LEFT($B$2,4)),VALUE(MID($B$2,6,2)),VALUE(RIGHT($B$2,2)))
+ (VALUE(REGEXEXTRACT(INDIRECT(""A""&amp;ROW()+1),""\d+""))-1)*7
+ INT((COLUMN()-COLUMN($B211))/3)
"),"#VALUE!")</f>
        <v>#VALUE!</v>
      </c>
      <c r="I211" s="81"/>
      <c r="J211" s="82"/>
      <c r="K211" s="77" t="str">
        <f ca="1">IFERROR(__xludf.DUMMYFUNCTION("DATE(VALUE(LEFT($B$2,4)),VALUE(MID($B$2,6,2)),VALUE(RIGHT($B$2,2)))
+ (VALUE(REGEXEXTRACT(INDIRECT(""A""&amp;ROW()+1),""\d+""))-1)*7
+ INT((COLUMN()-COLUMN($B211))/3)
"),"#VALUE!")</f>
        <v>#VALUE!</v>
      </c>
      <c r="L211" s="81"/>
      <c r="M211" s="82"/>
      <c r="N211" s="77" t="str">
        <f ca="1">IFERROR(__xludf.DUMMYFUNCTION("DATE(VALUE(LEFT($B$2,4)),VALUE(MID($B$2,6,2)),VALUE(RIGHT($B$2,2)))
+ (VALUE(REGEXEXTRACT(INDIRECT(""A""&amp;ROW()+1),""\d+""))-1)*7
+ INT((COLUMN()-COLUMN($B211))/3)
"),"#VALUE!")</f>
        <v>#VALUE!</v>
      </c>
      <c r="O211" s="81"/>
      <c r="P211" s="82"/>
      <c r="Q211" s="77" t="str">
        <f ca="1">IFERROR(__xludf.DUMMYFUNCTION("DATE(VALUE(LEFT($B$2,4)),VALUE(MID($B$2,6,2)),VALUE(RIGHT($B$2,2)))
+ (VALUE(REGEXEXTRACT(INDIRECT(""A""&amp;ROW()+1),""\d+""))-1)*7
+ INT((COLUMN()-COLUMN($B211))/3)
"),"#VALUE!")</f>
        <v>#VALUE!</v>
      </c>
      <c r="R211" s="81"/>
      <c r="S211" s="82"/>
      <c r="T211" s="77" t="str">
        <f ca="1">IFERROR(__xludf.DUMMYFUNCTION("DATE(VALUE(LEFT($B$2,4)),VALUE(MID($B$2,6,2)),VALUE(RIGHT($B$2,2)))
+ (VALUE(REGEXEXTRACT(INDIRECT(""A""&amp;ROW()+1),""\d+""))-1)*7
+ INT((COLUMN()-COLUMN($B211))/3)
"),"#VALUE!")</f>
        <v>#VALUE!</v>
      </c>
      <c r="U211" s="81"/>
      <c r="V211" s="82"/>
      <c r="W211" s="52" t="s">
        <v>20</v>
      </c>
    </row>
    <row r="212" spans="1:23" ht="15.75" customHeight="1">
      <c r="A212" s="47" t="s">
        <v>51</v>
      </c>
      <c r="B212" s="109"/>
      <c r="C212" s="109"/>
      <c r="D212" s="42">
        <f>V210+C212</f>
        <v>-1460</v>
      </c>
      <c r="E212" s="112"/>
      <c r="F212" s="111"/>
      <c r="G212" s="36">
        <f>D222+F212</f>
        <v>-1460</v>
      </c>
      <c r="H212" s="132"/>
      <c r="I212" s="109"/>
      <c r="J212" s="42">
        <f>G222+I212</f>
        <v>-1460</v>
      </c>
      <c r="K212" s="112"/>
      <c r="L212" s="111"/>
      <c r="M212" s="18">
        <f>J222+L212</f>
        <v>-1460</v>
      </c>
      <c r="N212" s="113"/>
      <c r="O212" s="109"/>
      <c r="P212" s="35">
        <f>M222+O212</f>
        <v>-1460</v>
      </c>
      <c r="Q212" s="112"/>
      <c r="R212" s="111"/>
      <c r="S212" s="18">
        <f>P222+R212</f>
        <v>-1460</v>
      </c>
      <c r="T212" s="113"/>
      <c r="U212" s="109"/>
      <c r="V212" s="50">
        <f>S222+U212</f>
        <v>-1460</v>
      </c>
      <c r="W212" s="172"/>
    </row>
    <row r="213" spans="1:23" ht="15.75" customHeight="1">
      <c r="A213" s="114"/>
      <c r="B213" s="117"/>
      <c r="C213" s="117"/>
      <c r="D213" s="19">
        <f t="shared" ref="D213:D222" si="126">D212+C213</f>
        <v>-1460</v>
      </c>
      <c r="E213" s="106"/>
      <c r="F213" s="107"/>
      <c r="G213" s="26">
        <f t="shared" ref="G213:G222" si="127">G212+F213</f>
        <v>-1460</v>
      </c>
      <c r="H213" s="133"/>
      <c r="I213" s="117"/>
      <c r="J213" s="19">
        <f t="shared" ref="J213:J222" si="128">J212+I213</f>
        <v>-1460</v>
      </c>
      <c r="K213" s="106"/>
      <c r="L213" s="107"/>
      <c r="M213" s="26">
        <f t="shared" ref="M213:M222" si="129">M212+L213</f>
        <v>-1460</v>
      </c>
      <c r="N213" s="117"/>
      <c r="O213" s="117"/>
      <c r="P213" s="38">
        <f t="shared" ref="P213:P222" si="130">P212+O213</f>
        <v>-1460</v>
      </c>
      <c r="Q213" s="106"/>
      <c r="R213" s="107"/>
      <c r="S213" s="26">
        <f t="shared" ref="S213:S222" si="131">S212+R213</f>
        <v>-1460</v>
      </c>
      <c r="T213" s="136"/>
      <c r="U213" s="136"/>
      <c r="V213" s="45">
        <f t="shared" ref="V213:V222" si="132">V212+U213</f>
        <v>-1460</v>
      </c>
      <c r="W213" s="143"/>
    </row>
    <row r="214" spans="1:23" ht="15.75" customHeight="1">
      <c r="A214" s="114"/>
      <c r="B214" s="117"/>
      <c r="C214" s="117"/>
      <c r="D214" s="19">
        <f t="shared" si="126"/>
        <v>-1460</v>
      </c>
      <c r="E214" s="106"/>
      <c r="F214" s="107"/>
      <c r="G214" s="26">
        <f t="shared" si="127"/>
        <v>-1460</v>
      </c>
      <c r="H214" s="133"/>
      <c r="I214" s="117"/>
      <c r="J214" s="19">
        <f t="shared" si="128"/>
        <v>-1460</v>
      </c>
      <c r="K214" s="106"/>
      <c r="L214" s="107"/>
      <c r="M214" s="26">
        <f t="shared" si="129"/>
        <v>-1460</v>
      </c>
      <c r="N214" s="117"/>
      <c r="O214" s="117"/>
      <c r="P214" s="38">
        <f t="shared" si="130"/>
        <v>-1460</v>
      </c>
      <c r="Q214" s="106"/>
      <c r="R214" s="107"/>
      <c r="S214" s="26">
        <f t="shared" si="131"/>
        <v>-1460</v>
      </c>
      <c r="T214" s="136"/>
      <c r="U214" s="136"/>
      <c r="V214" s="45">
        <f t="shared" si="132"/>
        <v>-1460</v>
      </c>
      <c r="W214" s="143"/>
    </row>
    <row r="215" spans="1:23" ht="15.75" customHeight="1">
      <c r="A215" s="114"/>
      <c r="B215" s="117"/>
      <c r="C215" s="117"/>
      <c r="D215" s="19">
        <f t="shared" si="126"/>
        <v>-1460</v>
      </c>
      <c r="E215" s="106"/>
      <c r="F215" s="107"/>
      <c r="G215" s="26">
        <f t="shared" si="127"/>
        <v>-1460</v>
      </c>
      <c r="H215" s="133"/>
      <c r="I215" s="117"/>
      <c r="J215" s="19">
        <f t="shared" si="128"/>
        <v>-1460</v>
      </c>
      <c r="K215" s="106"/>
      <c r="L215" s="107"/>
      <c r="M215" s="26">
        <f t="shared" si="129"/>
        <v>-1460</v>
      </c>
      <c r="N215" s="117"/>
      <c r="O215" s="117"/>
      <c r="P215" s="38">
        <f t="shared" si="130"/>
        <v>-1460</v>
      </c>
      <c r="Q215" s="106"/>
      <c r="R215" s="107"/>
      <c r="S215" s="26">
        <f t="shared" si="131"/>
        <v>-1460</v>
      </c>
      <c r="T215" s="136"/>
      <c r="U215" s="136"/>
      <c r="V215" s="45">
        <f t="shared" si="132"/>
        <v>-1460</v>
      </c>
      <c r="W215" s="143"/>
    </row>
    <row r="216" spans="1:23" ht="15.75" customHeight="1">
      <c r="A216" s="114"/>
      <c r="B216" s="117"/>
      <c r="C216" s="117"/>
      <c r="D216" s="19">
        <f t="shared" si="126"/>
        <v>-1460</v>
      </c>
      <c r="E216" s="106"/>
      <c r="F216" s="107"/>
      <c r="G216" s="26">
        <f t="shared" si="127"/>
        <v>-1460</v>
      </c>
      <c r="H216" s="133"/>
      <c r="I216" s="117"/>
      <c r="J216" s="19">
        <f t="shared" si="128"/>
        <v>-1460</v>
      </c>
      <c r="K216" s="106"/>
      <c r="L216" s="107"/>
      <c r="M216" s="26">
        <f t="shared" si="129"/>
        <v>-1460</v>
      </c>
      <c r="N216" s="117"/>
      <c r="O216" s="117"/>
      <c r="P216" s="38">
        <f t="shared" si="130"/>
        <v>-1460</v>
      </c>
      <c r="Q216" s="106"/>
      <c r="R216" s="107"/>
      <c r="S216" s="26">
        <f t="shared" si="131"/>
        <v>-1460</v>
      </c>
      <c r="T216" s="136"/>
      <c r="U216" s="136"/>
      <c r="V216" s="45">
        <f t="shared" si="132"/>
        <v>-1460</v>
      </c>
      <c r="W216" s="143"/>
    </row>
    <row r="217" spans="1:23" ht="15.75" customHeight="1">
      <c r="A217" s="114"/>
      <c r="B217" s="117"/>
      <c r="C217" s="117"/>
      <c r="D217" s="19">
        <f t="shared" si="126"/>
        <v>-1460</v>
      </c>
      <c r="E217" s="106"/>
      <c r="F217" s="107"/>
      <c r="G217" s="26">
        <f t="shared" si="127"/>
        <v>-1460</v>
      </c>
      <c r="H217" s="133"/>
      <c r="I217" s="117"/>
      <c r="J217" s="19">
        <f t="shared" si="128"/>
        <v>-1460</v>
      </c>
      <c r="K217" s="106"/>
      <c r="L217" s="107"/>
      <c r="M217" s="26">
        <f t="shared" si="129"/>
        <v>-1460</v>
      </c>
      <c r="N217" s="117"/>
      <c r="O217" s="117"/>
      <c r="P217" s="38">
        <f t="shared" si="130"/>
        <v>-1460</v>
      </c>
      <c r="Q217" s="106"/>
      <c r="R217" s="107"/>
      <c r="S217" s="26">
        <f t="shared" si="131"/>
        <v>-1460</v>
      </c>
      <c r="T217" s="136"/>
      <c r="U217" s="136"/>
      <c r="V217" s="45">
        <f t="shared" si="132"/>
        <v>-1460</v>
      </c>
      <c r="W217" s="143"/>
    </row>
    <row r="218" spans="1:23" ht="15.75" customHeight="1">
      <c r="A218" s="114"/>
      <c r="B218" s="117"/>
      <c r="C218" s="117"/>
      <c r="D218" s="19">
        <f t="shared" si="126"/>
        <v>-1460</v>
      </c>
      <c r="E218" s="106"/>
      <c r="F218" s="107"/>
      <c r="G218" s="26">
        <f t="shared" si="127"/>
        <v>-1460</v>
      </c>
      <c r="H218" s="133"/>
      <c r="I218" s="117"/>
      <c r="J218" s="19">
        <f t="shared" si="128"/>
        <v>-1460</v>
      </c>
      <c r="K218" s="106"/>
      <c r="L218" s="107"/>
      <c r="M218" s="26">
        <f t="shared" si="129"/>
        <v>-1460</v>
      </c>
      <c r="N218" s="118"/>
      <c r="O218" s="117"/>
      <c r="P218" s="38">
        <f t="shared" si="130"/>
        <v>-1460</v>
      </c>
      <c r="Q218" s="106"/>
      <c r="R218" s="107"/>
      <c r="S218" s="26">
        <f t="shared" si="131"/>
        <v>-1460</v>
      </c>
      <c r="T218" s="136"/>
      <c r="U218" s="136"/>
      <c r="V218" s="45">
        <f t="shared" si="132"/>
        <v>-1460</v>
      </c>
      <c r="W218" s="143"/>
    </row>
    <row r="219" spans="1:23" ht="15.75" customHeight="1">
      <c r="A219" s="114"/>
      <c r="B219" s="117"/>
      <c r="C219" s="117"/>
      <c r="D219" s="19">
        <f t="shared" si="126"/>
        <v>-1460</v>
      </c>
      <c r="E219" s="106"/>
      <c r="F219" s="107"/>
      <c r="G219" s="26">
        <f t="shared" si="127"/>
        <v>-1460</v>
      </c>
      <c r="H219" s="133"/>
      <c r="I219" s="117"/>
      <c r="J219" s="19">
        <f t="shared" si="128"/>
        <v>-1460</v>
      </c>
      <c r="K219" s="106"/>
      <c r="L219" s="107"/>
      <c r="M219" s="26">
        <f t="shared" si="129"/>
        <v>-1460</v>
      </c>
      <c r="N219" s="117"/>
      <c r="O219" s="117"/>
      <c r="P219" s="38">
        <f t="shared" si="130"/>
        <v>-1460</v>
      </c>
      <c r="Q219" s="106"/>
      <c r="R219" s="107"/>
      <c r="S219" s="26">
        <f t="shared" si="131"/>
        <v>-1460</v>
      </c>
      <c r="T219" s="136"/>
      <c r="U219" s="136"/>
      <c r="V219" s="45">
        <f t="shared" si="132"/>
        <v>-1460</v>
      </c>
      <c r="W219" s="143"/>
    </row>
    <row r="220" spans="1:23" ht="15.75" customHeight="1">
      <c r="A220" s="114"/>
      <c r="B220" s="117"/>
      <c r="C220" s="117"/>
      <c r="D220" s="19">
        <f t="shared" si="126"/>
        <v>-1460</v>
      </c>
      <c r="E220" s="106"/>
      <c r="F220" s="107"/>
      <c r="G220" s="26">
        <f t="shared" si="127"/>
        <v>-1460</v>
      </c>
      <c r="H220" s="133"/>
      <c r="I220" s="117"/>
      <c r="J220" s="19">
        <f t="shared" si="128"/>
        <v>-1460</v>
      </c>
      <c r="K220" s="106"/>
      <c r="L220" s="107"/>
      <c r="M220" s="26">
        <f t="shared" si="129"/>
        <v>-1460</v>
      </c>
      <c r="N220" s="117"/>
      <c r="O220" s="117"/>
      <c r="P220" s="38">
        <f t="shared" si="130"/>
        <v>-1460</v>
      </c>
      <c r="Q220" s="106"/>
      <c r="R220" s="107"/>
      <c r="S220" s="26">
        <f t="shared" si="131"/>
        <v>-1460</v>
      </c>
      <c r="T220" s="136"/>
      <c r="U220" s="136"/>
      <c r="V220" s="45">
        <f t="shared" si="132"/>
        <v>-1460</v>
      </c>
      <c r="W220" s="143"/>
    </row>
    <row r="221" spans="1:23" ht="15.75" customHeight="1">
      <c r="A221" s="114"/>
      <c r="B221" s="118"/>
      <c r="C221" s="117"/>
      <c r="D221" s="19">
        <f t="shared" si="126"/>
        <v>-1460</v>
      </c>
      <c r="E221" s="122"/>
      <c r="F221" s="123"/>
      <c r="G221" s="26">
        <f t="shared" si="127"/>
        <v>-1460</v>
      </c>
      <c r="H221" s="133"/>
      <c r="I221" s="117"/>
      <c r="J221" s="19">
        <f t="shared" si="128"/>
        <v>-1460</v>
      </c>
      <c r="K221" s="122"/>
      <c r="L221" s="123"/>
      <c r="M221" s="26">
        <f t="shared" si="129"/>
        <v>-1460</v>
      </c>
      <c r="N221" s="117"/>
      <c r="O221" s="117"/>
      <c r="P221" s="38">
        <f t="shared" si="130"/>
        <v>-1460</v>
      </c>
      <c r="Q221" s="122"/>
      <c r="R221" s="123"/>
      <c r="S221" s="26">
        <f t="shared" si="131"/>
        <v>-1460</v>
      </c>
      <c r="T221" s="136"/>
      <c r="U221" s="136"/>
      <c r="V221" s="45">
        <f t="shared" si="132"/>
        <v>-1460</v>
      </c>
      <c r="W221" s="143"/>
    </row>
    <row r="222" spans="1:23" ht="15.75" customHeight="1">
      <c r="A222" s="114"/>
      <c r="B222" s="128"/>
      <c r="C222" s="128"/>
      <c r="D222" s="29">
        <f t="shared" si="126"/>
        <v>-1460</v>
      </c>
      <c r="E222" s="122"/>
      <c r="F222" s="123"/>
      <c r="G222" s="53">
        <f t="shared" si="127"/>
        <v>-1460</v>
      </c>
      <c r="H222" s="140"/>
      <c r="I222" s="128"/>
      <c r="J222" s="29">
        <f t="shared" si="128"/>
        <v>-1460</v>
      </c>
      <c r="K222" s="122"/>
      <c r="L222" s="123"/>
      <c r="M222" s="39">
        <f t="shared" si="129"/>
        <v>-1460</v>
      </c>
      <c r="N222" s="128"/>
      <c r="O222" s="128"/>
      <c r="P222" s="40">
        <f t="shared" si="130"/>
        <v>-1460</v>
      </c>
      <c r="Q222" s="122"/>
      <c r="R222" s="123"/>
      <c r="S222" s="39">
        <f t="shared" si="131"/>
        <v>-1460</v>
      </c>
      <c r="T222" s="141"/>
      <c r="U222" s="141"/>
      <c r="V222" s="46">
        <f t="shared" si="132"/>
        <v>-1460</v>
      </c>
      <c r="W222" s="143"/>
    </row>
    <row r="223" spans="1:23" ht="15.75" customHeight="1">
      <c r="A223" s="87"/>
      <c r="B223" s="77" t="str">
        <f ca="1">IFERROR(__xludf.DUMMYFUNCTION("DATE(VALUE(LEFT($B$2,4)),VALUE(MID($B$2,6,2)),VALUE(RIGHT($B$2,2)))
+ (VALUE(REGEXEXTRACT(INDIRECT(""A""&amp;ROW()+1),""\d+""))-1)*7
+ INT((COLUMN()-COLUMN($B223))/3)
"),"#VALUE!")</f>
        <v>#VALUE!</v>
      </c>
      <c r="C223" s="81"/>
      <c r="D223" s="82"/>
      <c r="E223" s="77" t="str">
        <f ca="1">IFERROR(__xludf.DUMMYFUNCTION("DATE(VALUE(LEFT($B$2,4)),VALUE(MID($B$2,6,2)),VALUE(RIGHT($B$2,2)))
+ (VALUE(REGEXEXTRACT(INDIRECT(""A""&amp;ROW()+1),""\d+""))-1)*7
+ INT((COLUMN()-COLUMN($B223))/3)
"),"#VALUE!")</f>
        <v>#VALUE!</v>
      </c>
      <c r="F223" s="81"/>
      <c r="G223" s="82"/>
      <c r="H223" s="77" t="str">
        <f ca="1">IFERROR(__xludf.DUMMYFUNCTION("DATE(VALUE(LEFT($B$2,4)),VALUE(MID($B$2,6,2)),VALUE(RIGHT($B$2,2)))
+ (VALUE(REGEXEXTRACT(INDIRECT(""A""&amp;ROW()+1),""\d+""))-1)*7
+ INT((COLUMN()-COLUMN($B223))/3)
"),"#VALUE!")</f>
        <v>#VALUE!</v>
      </c>
      <c r="I223" s="81"/>
      <c r="J223" s="82"/>
      <c r="K223" s="77" t="str">
        <f ca="1">IFERROR(__xludf.DUMMYFUNCTION("DATE(VALUE(LEFT($B$2,4)),VALUE(MID($B$2,6,2)),VALUE(RIGHT($B$2,2)))
+ (VALUE(REGEXEXTRACT(INDIRECT(""A""&amp;ROW()+1),""\d+""))-1)*7
+ INT((COLUMN()-COLUMN($B223))/3)
"),"#VALUE!")</f>
        <v>#VALUE!</v>
      </c>
      <c r="L223" s="81"/>
      <c r="M223" s="82"/>
      <c r="N223" s="77" t="str">
        <f ca="1">IFERROR(__xludf.DUMMYFUNCTION("DATE(VALUE(LEFT($B$2,4)),VALUE(MID($B$2,6,2)),VALUE(RIGHT($B$2,2)))
+ (VALUE(REGEXEXTRACT(INDIRECT(""A""&amp;ROW()+1),""\d+""))-1)*7
+ INT((COLUMN()-COLUMN($B223))/3)
"),"#VALUE!")</f>
        <v>#VALUE!</v>
      </c>
      <c r="O223" s="81"/>
      <c r="P223" s="82"/>
      <c r="Q223" s="77" t="str">
        <f ca="1">IFERROR(__xludf.DUMMYFUNCTION("DATE(VALUE(LEFT($B$2,4)),VALUE(MID($B$2,6,2)),VALUE(RIGHT($B$2,2)))
+ (VALUE(REGEXEXTRACT(INDIRECT(""A""&amp;ROW()+1),""\d+""))-1)*7
+ INT((COLUMN()-COLUMN($B223))/3)
"),"#VALUE!")</f>
        <v>#VALUE!</v>
      </c>
      <c r="R223" s="81"/>
      <c r="S223" s="82"/>
      <c r="T223" s="77" t="str">
        <f ca="1">IFERROR(__xludf.DUMMYFUNCTION("DATE(VALUE(LEFT($B$2,4)),VALUE(MID($B$2,6,2)),VALUE(RIGHT($B$2,2)))
+ (VALUE(REGEXEXTRACT(INDIRECT(""A""&amp;ROW()+1),""\d+""))-1)*7
+ INT((COLUMN()-COLUMN($B223))/3)
"),"#VALUE!")</f>
        <v>#VALUE!</v>
      </c>
      <c r="U223" s="81"/>
      <c r="V223" s="82"/>
      <c r="W223" s="143"/>
    </row>
    <row r="224" spans="1:23" ht="15.75" customHeight="1">
      <c r="A224" s="51" t="s">
        <v>72</v>
      </c>
      <c r="B224" s="112"/>
      <c r="C224" s="111"/>
      <c r="D224" s="17">
        <f>V222+C224</f>
        <v>-1460</v>
      </c>
      <c r="E224" s="109"/>
      <c r="F224" s="109"/>
      <c r="G224" s="54">
        <f>D234+F224</f>
        <v>-1460</v>
      </c>
      <c r="H224" s="110"/>
      <c r="I224" s="111"/>
      <c r="J224" s="17">
        <f>G234+I224</f>
        <v>-1460</v>
      </c>
      <c r="K224" s="109"/>
      <c r="L224" s="109"/>
      <c r="M224" s="35">
        <f>J234+L224</f>
        <v>-1460</v>
      </c>
      <c r="N224" s="112"/>
      <c r="O224" s="111"/>
      <c r="P224" s="17">
        <f>M234+O224</f>
        <v>-1460</v>
      </c>
      <c r="Q224" s="109"/>
      <c r="R224" s="109"/>
      <c r="S224" s="35">
        <f>P234+R224</f>
        <v>-1460</v>
      </c>
      <c r="T224" s="112"/>
      <c r="U224" s="111"/>
      <c r="V224" s="48">
        <f>S234+U224</f>
        <v>-1460</v>
      </c>
      <c r="W224" s="143"/>
    </row>
    <row r="225" spans="1:23" ht="15.75" customHeight="1">
      <c r="A225" s="114"/>
      <c r="B225" s="106"/>
      <c r="C225" s="107"/>
      <c r="D225" s="26">
        <f t="shared" ref="D225:D234" si="133">D224+C225</f>
        <v>-1460</v>
      </c>
      <c r="E225" s="117"/>
      <c r="F225" s="117"/>
      <c r="G225" s="19">
        <f t="shared" ref="G225:G234" si="134">G224+F225</f>
        <v>-1460</v>
      </c>
      <c r="H225" s="116"/>
      <c r="I225" s="107"/>
      <c r="J225" s="26">
        <f t="shared" ref="J225:J234" si="135">J224+I225</f>
        <v>-1460</v>
      </c>
      <c r="K225" s="117"/>
      <c r="L225" s="117"/>
      <c r="M225" s="38">
        <f t="shared" ref="M225:M234" si="136">M224+L225</f>
        <v>-1460</v>
      </c>
      <c r="N225" s="106"/>
      <c r="O225" s="107"/>
      <c r="P225" s="26">
        <f t="shared" ref="P225:P234" si="137">P224+O225</f>
        <v>-1460</v>
      </c>
      <c r="Q225" s="117"/>
      <c r="R225" s="117"/>
      <c r="S225" s="38">
        <f t="shared" ref="S225:S234" si="138">S224+R225</f>
        <v>-1460</v>
      </c>
      <c r="T225" s="106"/>
      <c r="U225" s="107"/>
      <c r="V225" s="20">
        <f t="shared" ref="V225:V234" si="139">V224+U225</f>
        <v>-1460</v>
      </c>
      <c r="W225" s="143"/>
    </row>
    <row r="226" spans="1:23" ht="15.75" customHeight="1">
      <c r="A226" s="114"/>
      <c r="B226" s="106"/>
      <c r="C226" s="107"/>
      <c r="D226" s="26">
        <f t="shared" si="133"/>
        <v>-1460</v>
      </c>
      <c r="E226" s="117"/>
      <c r="F226" s="117"/>
      <c r="G226" s="19">
        <f t="shared" si="134"/>
        <v>-1460</v>
      </c>
      <c r="H226" s="116"/>
      <c r="I226" s="107"/>
      <c r="J226" s="26">
        <f t="shared" si="135"/>
        <v>-1460</v>
      </c>
      <c r="K226" s="117"/>
      <c r="L226" s="117"/>
      <c r="M226" s="38">
        <f t="shared" si="136"/>
        <v>-1460</v>
      </c>
      <c r="N226" s="106"/>
      <c r="O226" s="107"/>
      <c r="P226" s="26">
        <f t="shared" si="137"/>
        <v>-1460</v>
      </c>
      <c r="Q226" s="117"/>
      <c r="R226" s="117"/>
      <c r="S226" s="38">
        <f t="shared" si="138"/>
        <v>-1460</v>
      </c>
      <c r="T226" s="106"/>
      <c r="U226" s="116"/>
      <c r="V226" s="20">
        <f t="shared" si="139"/>
        <v>-1460</v>
      </c>
      <c r="W226" s="143"/>
    </row>
    <row r="227" spans="1:23" ht="15.75" customHeight="1">
      <c r="A227" s="114"/>
      <c r="B227" s="106"/>
      <c r="C227" s="107"/>
      <c r="D227" s="26">
        <f t="shared" si="133"/>
        <v>-1460</v>
      </c>
      <c r="E227" s="117"/>
      <c r="F227" s="117"/>
      <c r="G227" s="19">
        <f t="shared" si="134"/>
        <v>-1460</v>
      </c>
      <c r="H227" s="116"/>
      <c r="I227" s="107"/>
      <c r="J227" s="26">
        <f t="shared" si="135"/>
        <v>-1460</v>
      </c>
      <c r="K227" s="117"/>
      <c r="L227" s="117"/>
      <c r="M227" s="38">
        <f t="shared" si="136"/>
        <v>-1460</v>
      </c>
      <c r="N227" s="106"/>
      <c r="O227" s="107"/>
      <c r="P227" s="26">
        <f t="shared" si="137"/>
        <v>-1460</v>
      </c>
      <c r="Q227" s="117"/>
      <c r="R227" s="117"/>
      <c r="S227" s="38">
        <f t="shared" si="138"/>
        <v>-1460</v>
      </c>
      <c r="T227" s="106"/>
      <c r="U227" s="116"/>
      <c r="V227" s="20">
        <f t="shared" si="139"/>
        <v>-1460</v>
      </c>
      <c r="W227" s="143"/>
    </row>
    <row r="228" spans="1:23" ht="15.75" customHeight="1">
      <c r="A228" s="114"/>
      <c r="B228" s="106"/>
      <c r="C228" s="107"/>
      <c r="D228" s="26">
        <f t="shared" si="133"/>
        <v>-1460</v>
      </c>
      <c r="E228" s="117"/>
      <c r="F228" s="117"/>
      <c r="G228" s="19">
        <f t="shared" si="134"/>
        <v>-1460</v>
      </c>
      <c r="H228" s="116"/>
      <c r="I228" s="107"/>
      <c r="J228" s="26">
        <f t="shared" si="135"/>
        <v>-1460</v>
      </c>
      <c r="K228" s="117"/>
      <c r="L228" s="117"/>
      <c r="M228" s="38">
        <f t="shared" si="136"/>
        <v>-1460</v>
      </c>
      <c r="N228" s="106"/>
      <c r="O228" s="107"/>
      <c r="P228" s="26">
        <f t="shared" si="137"/>
        <v>-1460</v>
      </c>
      <c r="Q228" s="133"/>
      <c r="R228" s="117"/>
      <c r="S228" s="38">
        <f t="shared" si="138"/>
        <v>-1460</v>
      </c>
      <c r="T228" s="106"/>
      <c r="U228" s="116"/>
      <c r="V228" s="20">
        <f t="shared" si="139"/>
        <v>-1460</v>
      </c>
      <c r="W228" s="143"/>
    </row>
    <row r="229" spans="1:23" ht="15.75" customHeight="1">
      <c r="A229" s="114"/>
      <c r="B229" s="106"/>
      <c r="C229" s="107"/>
      <c r="D229" s="26">
        <f t="shared" si="133"/>
        <v>-1460</v>
      </c>
      <c r="E229" s="117"/>
      <c r="F229" s="117"/>
      <c r="G229" s="19">
        <f t="shared" si="134"/>
        <v>-1460</v>
      </c>
      <c r="H229" s="116"/>
      <c r="I229" s="107"/>
      <c r="J229" s="26">
        <f t="shared" si="135"/>
        <v>-1460</v>
      </c>
      <c r="K229" s="117"/>
      <c r="L229" s="117"/>
      <c r="M229" s="38">
        <f t="shared" si="136"/>
        <v>-1460</v>
      </c>
      <c r="N229" s="106"/>
      <c r="O229" s="107"/>
      <c r="P229" s="26">
        <f t="shared" si="137"/>
        <v>-1460</v>
      </c>
      <c r="Q229" s="117"/>
      <c r="R229" s="117"/>
      <c r="S229" s="38">
        <f t="shared" si="138"/>
        <v>-1460</v>
      </c>
      <c r="T229" s="106"/>
      <c r="U229" s="116"/>
      <c r="V229" s="20">
        <f t="shared" si="139"/>
        <v>-1460</v>
      </c>
      <c r="W229" s="143"/>
    </row>
    <row r="230" spans="1:23" ht="15.75" customHeight="1">
      <c r="A230" s="114"/>
      <c r="B230" s="106"/>
      <c r="C230" s="107"/>
      <c r="D230" s="26">
        <f t="shared" si="133"/>
        <v>-1460</v>
      </c>
      <c r="E230" s="117"/>
      <c r="F230" s="117"/>
      <c r="G230" s="19">
        <f t="shared" si="134"/>
        <v>-1460</v>
      </c>
      <c r="H230" s="116"/>
      <c r="I230" s="107"/>
      <c r="J230" s="26">
        <f t="shared" si="135"/>
        <v>-1460</v>
      </c>
      <c r="K230" s="117"/>
      <c r="L230" s="117"/>
      <c r="M230" s="38">
        <f t="shared" si="136"/>
        <v>-1460</v>
      </c>
      <c r="N230" s="106"/>
      <c r="O230" s="107"/>
      <c r="P230" s="26">
        <f t="shared" si="137"/>
        <v>-1460</v>
      </c>
      <c r="Q230" s="117"/>
      <c r="R230" s="117"/>
      <c r="S230" s="38">
        <f t="shared" si="138"/>
        <v>-1460</v>
      </c>
      <c r="T230" s="106"/>
      <c r="U230" s="116"/>
      <c r="V230" s="20">
        <f t="shared" si="139"/>
        <v>-1460</v>
      </c>
      <c r="W230" s="143"/>
    </row>
    <row r="231" spans="1:23" ht="15.75" customHeight="1">
      <c r="A231" s="114"/>
      <c r="B231" s="106"/>
      <c r="C231" s="107"/>
      <c r="D231" s="26">
        <f t="shared" si="133"/>
        <v>-1460</v>
      </c>
      <c r="E231" s="117"/>
      <c r="F231" s="117"/>
      <c r="G231" s="19">
        <f t="shared" si="134"/>
        <v>-1460</v>
      </c>
      <c r="H231" s="116"/>
      <c r="I231" s="107"/>
      <c r="J231" s="26">
        <f t="shared" si="135"/>
        <v>-1460</v>
      </c>
      <c r="K231" s="117"/>
      <c r="L231" s="117"/>
      <c r="M231" s="38">
        <f t="shared" si="136"/>
        <v>-1460</v>
      </c>
      <c r="N231" s="106"/>
      <c r="O231" s="107"/>
      <c r="P231" s="26">
        <f t="shared" si="137"/>
        <v>-1460</v>
      </c>
      <c r="Q231" s="117"/>
      <c r="R231" s="117"/>
      <c r="S231" s="38">
        <f t="shared" si="138"/>
        <v>-1460</v>
      </c>
      <c r="T231" s="106"/>
      <c r="U231" s="116"/>
      <c r="V231" s="20">
        <f t="shared" si="139"/>
        <v>-1460</v>
      </c>
      <c r="W231" s="143"/>
    </row>
    <row r="232" spans="1:23" ht="15.75" customHeight="1">
      <c r="A232" s="114"/>
      <c r="B232" s="122"/>
      <c r="C232" s="123"/>
      <c r="D232" s="26">
        <f t="shared" si="133"/>
        <v>-1460</v>
      </c>
      <c r="E232" s="117"/>
      <c r="F232" s="117"/>
      <c r="G232" s="19">
        <f t="shared" si="134"/>
        <v>-1460</v>
      </c>
      <c r="H232" s="124"/>
      <c r="I232" s="123"/>
      <c r="J232" s="26">
        <f t="shared" si="135"/>
        <v>-1460</v>
      </c>
      <c r="K232" s="117"/>
      <c r="L232" s="117"/>
      <c r="M232" s="38">
        <f t="shared" si="136"/>
        <v>-1460</v>
      </c>
      <c r="N232" s="122"/>
      <c r="O232" s="123"/>
      <c r="P232" s="26">
        <f t="shared" si="137"/>
        <v>-1460</v>
      </c>
      <c r="Q232" s="117"/>
      <c r="R232" s="117"/>
      <c r="S232" s="38">
        <f t="shared" si="138"/>
        <v>-1460</v>
      </c>
      <c r="T232" s="106"/>
      <c r="U232" s="116"/>
      <c r="V232" s="20">
        <f t="shared" si="139"/>
        <v>-1460</v>
      </c>
      <c r="W232" s="143"/>
    </row>
    <row r="233" spans="1:23" ht="15.75" customHeight="1">
      <c r="A233" s="114"/>
      <c r="B233" s="122"/>
      <c r="C233" s="123"/>
      <c r="D233" s="26">
        <f t="shared" si="133"/>
        <v>-1460</v>
      </c>
      <c r="E233" s="117"/>
      <c r="F233" s="117"/>
      <c r="G233" s="19">
        <f t="shared" si="134"/>
        <v>-1460</v>
      </c>
      <c r="H233" s="124"/>
      <c r="I233" s="123"/>
      <c r="J233" s="26">
        <f t="shared" si="135"/>
        <v>-1460</v>
      </c>
      <c r="K233" s="117"/>
      <c r="L233" s="117"/>
      <c r="M233" s="38">
        <f t="shared" si="136"/>
        <v>-1460</v>
      </c>
      <c r="N233" s="122"/>
      <c r="O233" s="123"/>
      <c r="P233" s="26">
        <f t="shared" si="137"/>
        <v>-1460</v>
      </c>
      <c r="Q233" s="117"/>
      <c r="R233" s="117"/>
      <c r="S233" s="38">
        <f t="shared" si="138"/>
        <v>-1460</v>
      </c>
      <c r="T233" s="122"/>
      <c r="U233" s="124"/>
      <c r="V233" s="20">
        <f t="shared" si="139"/>
        <v>-1460</v>
      </c>
      <c r="W233" s="143"/>
    </row>
    <row r="234" spans="1:23" ht="15.75" customHeight="1">
      <c r="A234" s="114"/>
      <c r="B234" s="122"/>
      <c r="C234" s="123"/>
      <c r="D234" s="39">
        <f t="shared" si="133"/>
        <v>-1460</v>
      </c>
      <c r="E234" s="128"/>
      <c r="F234" s="128"/>
      <c r="G234" s="55">
        <f t="shared" si="134"/>
        <v>-1460</v>
      </c>
      <c r="H234" s="124"/>
      <c r="I234" s="123"/>
      <c r="J234" s="39">
        <f t="shared" si="135"/>
        <v>-1460</v>
      </c>
      <c r="K234" s="128"/>
      <c r="L234" s="128"/>
      <c r="M234" s="40">
        <f t="shared" si="136"/>
        <v>-1460</v>
      </c>
      <c r="N234" s="122"/>
      <c r="O234" s="123"/>
      <c r="P234" s="39">
        <f t="shared" si="137"/>
        <v>-1460</v>
      </c>
      <c r="Q234" s="128"/>
      <c r="R234" s="128"/>
      <c r="S234" s="40">
        <f t="shared" si="138"/>
        <v>-1460</v>
      </c>
      <c r="T234" s="122"/>
      <c r="U234" s="123"/>
      <c r="V234" s="49">
        <f t="shared" si="139"/>
        <v>-1460</v>
      </c>
      <c r="W234" s="143"/>
    </row>
    <row r="235" spans="1:23" ht="15.75" customHeight="1">
      <c r="A235" s="87"/>
      <c r="B235" s="77" t="str">
        <f ca="1">IFERROR(__xludf.DUMMYFUNCTION("DATE(VALUE(LEFT($B$2,4)),VALUE(MID($B$2,6,2)),VALUE(RIGHT($B$2,2)))
+ (VALUE(REGEXEXTRACT(INDIRECT(""A""&amp;ROW()+1),""\d+""))-1)*7
+ INT((COLUMN()-COLUMN($B235))/3)
"),"#VALUE!")</f>
        <v>#VALUE!</v>
      </c>
      <c r="C235" s="81"/>
      <c r="D235" s="82"/>
      <c r="E235" s="77" t="str">
        <f ca="1">IFERROR(__xludf.DUMMYFUNCTION("DATE(VALUE(LEFT($B$2,4)),VALUE(MID($B$2,6,2)),VALUE(RIGHT($B$2,2)))
+ (VALUE(REGEXEXTRACT(INDIRECT(""A""&amp;ROW()+1),""\d+""))-1)*7
+ INT((COLUMN()-COLUMN($B235))/3)
"),"#VALUE!")</f>
        <v>#VALUE!</v>
      </c>
      <c r="F235" s="81"/>
      <c r="G235" s="82"/>
      <c r="H235" s="77" t="str">
        <f ca="1">IFERROR(__xludf.DUMMYFUNCTION("DATE(VALUE(LEFT($B$2,4)),VALUE(MID($B$2,6,2)),VALUE(RIGHT($B$2,2)))
+ (VALUE(REGEXEXTRACT(INDIRECT(""A""&amp;ROW()+1),""\d+""))-1)*7
+ INT((COLUMN()-COLUMN($B235))/3)
"),"#VALUE!")</f>
        <v>#VALUE!</v>
      </c>
      <c r="I235" s="81"/>
      <c r="J235" s="82"/>
      <c r="K235" s="77" t="str">
        <f ca="1">IFERROR(__xludf.DUMMYFUNCTION("DATE(VALUE(LEFT($B$2,4)),VALUE(MID($B$2,6,2)),VALUE(RIGHT($B$2,2)))
+ (VALUE(REGEXEXTRACT(INDIRECT(""A""&amp;ROW()+1),""\d+""))-1)*7
+ INT((COLUMN()-COLUMN($B235))/3)
"),"#VALUE!")</f>
        <v>#VALUE!</v>
      </c>
      <c r="L235" s="81"/>
      <c r="M235" s="82"/>
      <c r="N235" s="77" t="str">
        <f ca="1">IFERROR(__xludf.DUMMYFUNCTION("DATE(VALUE(LEFT($B$2,4)),VALUE(MID($B$2,6,2)),VALUE(RIGHT($B$2,2)))
+ (VALUE(REGEXEXTRACT(INDIRECT(""A""&amp;ROW()+1),""\d+""))-1)*7
+ INT((COLUMN()-COLUMN($B235))/3)
"),"#VALUE!")</f>
        <v>#VALUE!</v>
      </c>
      <c r="O235" s="81"/>
      <c r="P235" s="82"/>
      <c r="Q235" s="77" t="str">
        <f ca="1">IFERROR(__xludf.DUMMYFUNCTION("DATE(VALUE(LEFT($B$2,4)),VALUE(MID($B$2,6,2)),VALUE(RIGHT($B$2,2)))
+ (VALUE(REGEXEXTRACT(INDIRECT(""A""&amp;ROW()+1),""\d+""))-1)*7
+ INT((COLUMN()-COLUMN($B235))/3)
"),"#VALUE!")</f>
        <v>#VALUE!</v>
      </c>
      <c r="R235" s="81"/>
      <c r="S235" s="82"/>
      <c r="T235" s="77" t="str">
        <f ca="1">IFERROR(__xludf.DUMMYFUNCTION("DATE(VALUE(LEFT($B$2,4)),VALUE(MID($B$2,6,2)),VALUE(RIGHT($B$2,2)))
+ (VALUE(REGEXEXTRACT(INDIRECT(""A""&amp;ROW()+1),""\d+""))-1)*7
+ INT((COLUMN()-COLUMN($B235))/3)
"),"#VALUE!")</f>
        <v>#VALUE!</v>
      </c>
      <c r="U235" s="81"/>
      <c r="V235" s="82"/>
      <c r="W235" s="52" t="s">
        <v>20</v>
      </c>
    </row>
    <row r="236" spans="1:23" ht="15.75" customHeight="1">
      <c r="A236" s="47" t="s">
        <v>89</v>
      </c>
      <c r="B236" s="109"/>
      <c r="C236" s="109"/>
      <c r="D236" s="42">
        <f>V234+C236</f>
        <v>-1460</v>
      </c>
      <c r="E236" s="112"/>
      <c r="F236" s="111"/>
      <c r="G236" s="36">
        <f>D246+F236</f>
        <v>-1460</v>
      </c>
      <c r="H236" s="132"/>
      <c r="I236" s="109"/>
      <c r="J236" s="42">
        <f>G246+I236</f>
        <v>-1460</v>
      </c>
      <c r="K236" s="112"/>
      <c r="L236" s="111"/>
      <c r="M236" s="18">
        <f>J246+L236</f>
        <v>-1460</v>
      </c>
      <c r="N236" s="113"/>
      <c r="O236" s="109"/>
      <c r="P236" s="35">
        <f>M246+O236</f>
        <v>-1460</v>
      </c>
      <c r="Q236" s="112"/>
      <c r="R236" s="111"/>
      <c r="S236" s="18">
        <f>P246+R236</f>
        <v>-1460</v>
      </c>
      <c r="T236" s="113"/>
      <c r="U236" s="109"/>
      <c r="V236" s="50">
        <f>S246+U236</f>
        <v>-1460</v>
      </c>
      <c r="W236" s="172"/>
    </row>
    <row r="237" spans="1:23" ht="15.75" customHeight="1">
      <c r="A237" s="114"/>
      <c r="B237" s="117"/>
      <c r="C237" s="117"/>
      <c r="D237" s="19">
        <f t="shared" ref="D237:D246" si="140">D236+C237</f>
        <v>-1460</v>
      </c>
      <c r="E237" s="106"/>
      <c r="F237" s="107"/>
      <c r="G237" s="26">
        <f t="shared" ref="G237:G246" si="141">G236+F237</f>
        <v>-1460</v>
      </c>
      <c r="H237" s="133"/>
      <c r="I237" s="117"/>
      <c r="J237" s="19">
        <f t="shared" ref="J237:J246" si="142">J236+I237</f>
        <v>-1460</v>
      </c>
      <c r="K237" s="106"/>
      <c r="L237" s="107"/>
      <c r="M237" s="26">
        <f t="shared" ref="M237:M246" si="143">M236+L237</f>
        <v>-1460</v>
      </c>
      <c r="N237" s="118"/>
      <c r="O237" s="117"/>
      <c r="P237" s="38">
        <f t="shared" ref="P237:P246" si="144">P236+O237</f>
        <v>-1460</v>
      </c>
      <c r="Q237" s="106"/>
      <c r="R237" s="107"/>
      <c r="S237" s="26">
        <f t="shared" ref="S237:S246" si="145">S236+R237</f>
        <v>-1460</v>
      </c>
      <c r="T237" s="136"/>
      <c r="U237" s="136"/>
      <c r="V237" s="45">
        <f t="shared" ref="V237:V246" si="146">V236+U237</f>
        <v>-1460</v>
      </c>
      <c r="W237" s="143"/>
    </row>
    <row r="238" spans="1:23" ht="15.75" customHeight="1">
      <c r="A238" s="114"/>
      <c r="B238" s="117"/>
      <c r="C238" s="117"/>
      <c r="D238" s="19">
        <f t="shared" si="140"/>
        <v>-1460</v>
      </c>
      <c r="E238" s="106"/>
      <c r="F238" s="107"/>
      <c r="G238" s="26">
        <f t="shared" si="141"/>
        <v>-1460</v>
      </c>
      <c r="H238" s="133"/>
      <c r="I238" s="117"/>
      <c r="J238" s="19">
        <f t="shared" si="142"/>
        <v>-1460</v>
      </c>
      <c r="K238" s="106"/>
      <c r="L238" s="107"/>
      <c r="M238" s="26">
        <f t="shared" si="143"/>
        <v>-1460</v>
      </c>
      <c r="N238" s="117"/>
      <c r="O238" s="117"/>
      <c r="P238" s="38">
        <f t="shared" si="144"/>
        <v>-1460</v>
      </c>
      <c r="Q238" s="106"/>
      <c r="R238" s="107"/>
      <c r="S238" s="26">
        <f t="shared" si="145"/>
        <v>-1460</v>
      </c>
      <c r="T238" s="136"/>
      <c r="U238" s="136"/>
      <c r="V238" s="45">
        <f t="shared" si="146"/>
        <v>-1460</v>
      </c>
      <c r="W238" s="143"/>
    </row>
    <row r="239" spans="1:23" ht="15.75" customHeight="1">
      <c r="A239" s="114"/>
      <c r="B239" s="117"/>
      <c r="C239" s="117"/>
      <c r="D239" s="19">
        <f t="shared" si="140"/>
        <v>-1460</v>
      </c>
      <c r="E239" s="106"/>
      <c r="F239" s="107"/>
      <c r="G239" s="26">
        <f t="shared" si="141"/>
        <v>-1460</v>
      </c>
      <c r="H239" s="133"/>
      <c r="I239" s="117"/>
      <c r="J239" s="19">
        <f t="shared" si="142"/>
        <v>-1460</v>
      </c>
      <c r="K239" s="106"/>
      <c r="L239" s="107"/>
      <c r="M239" s="26">
        <f t="shared" si="143"/>
        <v>-1460</v>
      </c>
      <c r="N239" s="117"/>
      <c r="O239" s="117"/>
      <c r="P239" s="38">
        <f t="shared" si="144"/>
        <v>-1460</v>
      </c>
      <c r="Q239" s="106"/>
      <c r="R239" s="107"/>
      <c r="S239" s="26">
        <f t="shared" si="145"/>
        <v>-1460</v>
      </c>
      <c r="T239" s="136"/>
      <c r="U239" s="136"/>
      <c r="V239" s="45">
        <f t="shared" si="146"/>
        <v>-1460</v>
      </c>
      <c r="W239" s="143"/>
    </row>
    <row r="240" spans="1:23" ht="15.75" customHeight="1">
      <c r="A240" s="114"/>
      <c r="B240" s="117"/>
      <c r="C240" s="117"/>
      <c r="D240" s="19">
        <f t="shared" si="140"/>
        <v>-1460</v>
      </c>
      <c r="E240" s="106"/>
      <c r="F240" s="107"/>
      <c r="G240" s="26">
        <f t="shared" si="141"/>
        <v>-1460</v>
      </c>
      <c r="H240" s="133"/>
      <c r="I240" s="117"/>
      <c r="J240" s="19">
        <f t="shared" si="142"/>
        <v>-1460</v>
      </c>
      <c r="K240" s="106"/>
      <c r="L240" s="107"/>
      <c r="M240" s="26">
        <f t="shared" si="143"/>
        <v>-1460</v>
      </c>
      <c r="N240" s="117"/>
      <c r="O240" s="117"/>
      <c r="P240" s="38">
        <f t="shared" si="144"/>
        <v>-1460</v>
      </c>
      <c r="Q240" s="106"/>
      <c r="R240" s="107"/>
      <c r="S240" s="26">
        <f t="shared" si="145"/>
        <v>-1460</v>
      </c>
      <c r="T240" s="136"/>
      <c r="U240" s="136"/>
      <c r="V240" s="45">
        <f t="shared" si="146"/>
        <v>-1460</v>
      </c>
      <c r="W240" s="143"/>
    </row>
    <row r="241" spans="1:23" ht="15.75" customHeight="1">
      <c r="A241" s="114"/>
      <c r="B241" s="118"/>
      <c r="C241" s="117"/>
      <c r="D241" s="19">
        <f t="shared" si="140"/>
        <v>-1460</v>
      </c>
      <c r="E241" s="106"/>
      <c r="F241" s="107"/>
      <c r="G241" s="26">
        <f t="shared" si="141"/>
        <v>-1460</v>
      </c>
      <c r="H241" s="133"/>
      <c r="I241" s="117"/>
      <c r="J241" s="19">
        <f t="shared" si="142"/>
        <v>-1460</v>
      </c>
      <c r="K241" s="106"/>
      <c r="L241" s="107"/>
      <c r="M241" s="26">
        <f t="shared" si="143"/>
        <v>-1460</v>
      </c>
      <c r="N241" s="117"/>
      <c r="O241" s="117"/>
      <c r="P241" s="38">
        <f t="shared" si="144"/>
        <v>-1460</v>
      </c>
      <c r="Q241" s="106"/>
      <c r="R241" s="107"/>
      <c r="S241" s="26">
        <f t="shared" si="145"/>
        <v>-1460</v>
      </c>
      <c r="T241" s="136"/>
      <c r="U241" s="136"/>
      <c r="V241" s="45">
        <f t="shared" si="146"/>
        <v>-1460</v>
      </c>
      <c r="W241" s="143"/>
    </row>
    <row r="242" spans="1:23" ht="15.75" customHeight="1">
      <c r="A242" s="114"/>
      <c r="B242" s="117"/>
      <c r="C242" s="117"/>
      <c r="D242" s="19">
        <f t="shared" si="140"/>
        <v>-1460</v>
      </c>
      <c r="E242" s="106"/>
      <c r="F242" s="107"/>
      <c r="G242" s="26">
        <f t="shared" si="141"/>
        <v>-1460</v>
      </c>
      <c r="H242" s="133"/>
      <c r="I242" s="117"/>
      <c r="J242" s="19">
        <f t="shared" si="142"/>
        <v>-1460</v>
      </c>
      <c r="K242" s="106"/>
      <c r="L242" s="107"/>
      <c r="M242" s="26">
        <f t="shared" si="143"/>
        <v>-1460</v>
      </c>
      <c r="N242" s="117"/>
      <c r="O242" s="117"/>
      <c r="P242" s="38">
        <f t="shared" si="144"/>
        <v>-1460</v>
      </c>
      <c r="Q242" s="106"/>
      <c r="R242" s="107"/>
      <c r="S242" s="26">
        <f t="shared" si="145"/>
        <v>-1460</v>
      </c>
      <c r="T242" s="136"/>
      <c r="U242" s="136"/>
      <c r="V242" s="45">
        <f t="shared" si="146"/>
        <v>-1460</v>
      </c>
      <c r="W242" s="143"/>
    </row>
    <row r="243" spans="1:23" ht="15.75" customHeight="1">
      <c r="A243" s="114"/>
      <c r="B243" s="117"/>
      <c r="C243" s="117"/>
      <c r="D243" s="19">
        <f t="shared" si="140"/>
        <v>-1460</v>
      </c>
      <c r="E243" s="106"/>
      <c r="F243" s="107"/>
      <c r="G243" s="26">
        <f t="shared" si="141"/>
        <v>-1460</v>
      </c>
      <c r="H243" s="133"/>
      <c r="I243" s="117"/>
      <c r="J243" s="19">
        <f t="shared" si="142"/>
        <v>-1460</v>
      </c>
      <c r="K243" s="106"/>
      <c r="L243" s="107"/>
      <c r="M243" s="26">
        <f t="shared" si="143"/>
        <v>-1460</v>
      </c>
      <c r="N243" s="117"/>
      <c r="O243" s="117"/>
      <c r="P243" s="38">
        <f t="shared" si="144"/>
        <v>-1460</v>
      </c>
      <c r="Q243" s="106"/>
      <c r="R243" s="107"/>
      <c r="S243" s="26">
        <f t="shared" si="145"/>
        <v>-1460</v>
      </c>
      <c r="T243" s="136"/>
      <c r="U243" s="136"/>
      <c r="V243" s="45">
        <f t="shared" si="146"/>
        <v>-1460</v>
      </c>
      <c r="W243" s="143"/>
    </row>
    <row r="244" spans="1:23" ht="15.75" customHeight="1">
      <c r="A244" s="114"/>
      <c r="B244" s="117"/>
      <c r="C244" s="117"/>
      <c r="D244" s="19">
        <f t="shared" si="140"/>
        <v>-1460</v>
      </c>
      <c r="E244" s="106"/>
      <c r="F244" s="107"/>
      <c r="G244" s="26">
        <f t="shared" si="141"/>
        <v>-1460</v>
      </c>
      <c r="H244" s="133"/>
      <c r="I244" s="117"/>
      <c r="J244" s="19">
        <f t="shared" si="142"/>
        <v>-1460</v>
      </c>
      <c r="K244" s="106"/>
      <c r="L244" s="107"/>
      <c r="M244" s="26">
        <f t="shared" si="143"/>
        <v>-1460</v>
      </c>
      <c r="N244" s="117"/>
      <c r="O244" s="117"/>
      <c r="P244" s="38">
        <f t="shared" si="144"/>
        <v>-1460</v>
      </c>
      <c r="Q244" s="106"/>
      <c r="R244" s="107"/>
      <c r="S244" s="26">
        <f t="shared" si="145"/>
        <v>-1460</v>
      </c>
      <c r="T244" s="136"/>
      <c r="U244" s="136"/>
      <c r="V244" s="45">
        <f t="shared" si="146"/>
        <v>-1460</v>
      </c>
      <c r="W244" s="143"/>
    </row>
    <row r="245" spans="1:23" ht="15.75" customHeight="1">
      <c r="A245" s="114"/>
      <c r="B245" s="117"/>
      <c r="C245" s="117"/>
      <c r="D245" s="19">
        <f t="shared" si="140"/>
        <v>-1460</v>
      </c>
      <c r="E245" s="122"/>
      <c r="F245" s="123"/>
      <c r="G245" s="26">
        <f t="shared" si="141"/>
        <v>-1460</v>
      </c>
      <c r="H245" s="133"/>
      <c r="I245" s="117"/>
      <c r="J245" s="19">
        <f t="shared" si="142"/>
        <v>-1460</v>
      </c>
      <c r="K245" s="122"/>
      <c r="L245" s="123"/>
      <c r="M245" s="26">
        <f t="shared" si="143"/>
        <v>-1460</v>
      </c>
      <c r="N245" s="117"/>
      <c r="O245" s="117"/>
      <c r="P245" s="38">
        <f t="shared" si="144"/>
        <v>-1460</v>
      </c>
      <c r="Q245" s="122"/>
      <c r="R245" s="123"/>
      <c r="S245" s="26">
        <f t="shared" si="145"/>
        <v>-1460</v>
      </c>
      <c r="T245" s="136"/>
      <c r="U245" s="136"/>
      <c r="V245" s="45">
        <f t="shared" si="146"/>
        <v>-1460</v>
      </c>
      <c r="W245" s="143"/>
    </row>
    <row r="246" spans="1:23" ht="15.75" customHeight="1">
      <c r="A246" s="114"/>
      <c r="B246" s="128"/>
      <c r="C246" s="128"/>
      <c r="D246" s="29">
        <f t="shared" si="140"/>
        <v>-1460</v>
      </c>
      <c r="E246" s="122"/>
      <c r="F246" s="123"/>
      <c r="G246" s="53">
        <f t="shared" si="141"/>
        <v>-1460</v>
      </c>
      <c r="H246" s="140"/>
      <c r="I246" s="128"/>
      <c r="J246" s="29">
        <f t="shared" si="142"/>
        <v>-1460</v>
      </c>
      <c r="K246" s="122"/>
      <c r="L246" s="123"/>
      <c r="M246" s="39">
        <f t="shared" si="143"/>
        <v>-1460</v>
      </c>
      <c r="N246" s="128"/>
      <c r="O246" s="128"/>
      <c r="P246" s="40">
        <f t="shared" si="144"/>
        <v>-1460</v>
      </c>
      <c r="Q246" s="122"/>
      <c r="R246" s="123"/>
      <c r="S246" s="39">
        <f t="shared" si="145"/>
        <v>-1460</v>
      </c>
      <c r="T246" s="141"/>
      <c r="U246" s="141"/>
      <c r="V246" s="46">
        <f t="shared" si="146"/>
        <v>-1460</v>
      </c>
      <c r="W246" s="143"/>
    </row>
    <row r="247" spans="1:23" ht="15.75" customHeight="1">
      <c r="A247" s="87"/>
      <c r="B247" s="77" t="str">
        <f ca="1">IFERROR(__xludf.DUMMYFUNCTION("DATE(VALUE(LEFT($B$2,4)),VALUE(MID($B$2,6,2)),VALUE(RIGHT($B$2,2)))
+ (VALUE(REGEXEXTRACT(INDIRECT(""A""&amp;ROW()+1),""\d+""))-1)*7
+ INT((COLUMN()-COLUMN($B247))/3)
"),"#VALUE!")</f>
        <v>#VALUE!</v>
      </c>
      <c r="C247" s="81"/>
      <c r="D247" s="82"/>
      <c r="E247" s="77" t="str">
        <f ca="1">IFERROR(__xludf.DUMMYFUNCTION("DATE(VALUE(LEFT($B$2,4)),VALUE(MID($B$2,6,2)),VALUE(RIGHT($B$2,2)))
+ (VALUE(REGEXEXTRACT(INDIRECT(""A""&amp;ROW()+1),""\d+""))-1)*7
+ INT((COLUMN()-COLUMN($B247))/3)
"),"#VALUE!")</f>
        <v>#VALUE!</v>
      </c>
      <c r="F247" s="81"/>
      <c r="G247" s="82"/>
      <c r="H247" s="77" t="str">
        <f ca="1">IFERROR(__xludf.DUMMYFUNCTION("DATE(VALUE(LEFT($B$2,4)),VALUE(MID($B$2,6,2)),VALUE(RIGHT($B$2,2)))
+ (VALUE(REGEXEXTRACT(INDIRECT(""A""&amp;ROW()+1),""\d+""))-1)*7
+ INT((COLUMN()-COLUMN($B247))/3)
"),"#VALUE!")</f>
        <v>#VALUE!</v>
      </c>
      <c r="I247" s="81"/>
      <c r="J247" s="82"/>
      <c r="K247" s="77" t="str">
        <f ca="1">IFERROR(__xludf.DUMMYFUNCTION("DATE(VALUE(LEFT($B$2,4)),VALUE(MID($B$2,6,2)),VALUE(RIGHT($B$2,2)))
+ (VALUE(REGEXEXTRACT(INDIRECT(""A""&amp;ROW()+1),""\d+""))-1)*7
+ INT((COLUMN()-COLUMN($B247))/3)
"),"#VALUE!")</f>
        <v>#VALUE!</v>
      </c>
      <c r="L247" s="81"/>
      <c r="M247" s="82"/>
      <c r="N247" s="77" t="str">
        <f ca="1">IFERROR(__xludf.DUMMYFUNCTION("DATE(VALUE(LEFT($B$2,4)),VALUE(MID($B$2,6,2)),VALUE(RIGHT($B$2,2)))
+ (VALUE(REGEXEXTRACT(INDIRECT(""A""&amp;ROW()+1),""\d+""))-1)*7
+ INT((COLUMN()-COLUMN($B247))/3)
"),"#VALUE!")</f>
        <v>#VALUE!</v>
      </c>
      <c r="O247" s="81"/>
      <c r="P247" s="82"/>
      <c r="Q247" s="77" t="str">
        <f ca="1">IFERROR(__xludf.DUMMYFUNCTION("DATE(VALUE(LEFT($B$2,4)),VALUE(MID($B$2,6,2)),VALUE(RIGHT($B$2,2)))
+ (VALUE(REGEXEXTRACT(INDIRECT(""A""&amp;ROW()+1),""\d+""))-1)*7
+ INT((COLUMN()-COLUMN($B247))/3)
"),"#VALUE!")</f>
        <v>#VALUE!</v>
      </c>
      <c r="R247" s="81"/>
      <c r="S247" s="82"/>
      <c r="T247" s="77" t="str">
        <f ca="1">IFERROR(__xludf.DUMMYFUNCTION("DATE(VALUE(LEFT($B$2,4)),VALUE(MID($B$2,6,2)),VALUE(RIGHT($B$2,2)))
+ (VALUE(REGEXEXTRACT(INDIRECT(""A""&amp;ROW()+1),""\d+""))-1)*7
+ INT((COLUMN()-COLUMN($B247))/3)
"),"#VALUE!")</f>
        <v>#VALUE!</v>
      </c>
      <c r="U247" s="81"/>
      <c r="V247" s="82"/>
      <c r="W247" s="143"/>
    </row>
    <row r="248" spans="1:23" ht="15.75" customHeight="1">
      <c r="A248" s="51" t="s">
        <v>98</v>
      </c>
      <c r="B248" s="112"/>
      <c r="C248" s="111"/>
      <c r="D248" s="17">
        <f>V246+C248</f>
        <v>-1460</v>
      </c>
      <c r="E248" s="109"/>
      <c r="F248" s="109"/>
      <c r="G248" s="42">
        <f>D258+F248</f>
        <v>-1460</v>
      </c>
      <c r="H248" s="112"/>
      <c r="I248" s="111"/>
      <c r="J248" s="17">
        <f>G258+I248</f>
        <v>-1460</v>
      </c>
      <c r="K248" s="109"/>
      <c r="L248" s="109"/>
      <c r="M248" s="35">
        <f>J258+L248</f>
        <v>-1460</v>
      </c>
      <c r="N248" s="112"/>
      <c r="O248" s="111"/>
      <c r="P248" s="17">
        <f>M258+O248</f>
        <v>-1460</v>
      </c>
      <c r="Q248" s="109"/>
      <c r="R248" s="109"/>
      <c r="S248" s="35">
        <f>P258+R248</f>
        <v>-1460</v>
      </c>
      <c r="T248" s="112"/>
      <c r="U248" s="111"/>
      <c r="V248" s="48">
        <f>S258+U248</f>
        <v>-1460</v>
      </c>
      <c r="W248" s="143"/>
    </row>
    <row r="249" spans="1:23" ht="15.75" customHeight="1">
      <c r="A249" s="114"/>
      <c r="B249" s="106"/>
      <c r="C249" s="107"/>
      <c r="D249" s="26">
        <f t="shared" ref="D249:D258" si="147">D248+C249</f>
        <v>-1460</v>
      </c>
      <c r="E249" s="117"/>
      <c r="F249" s="117"/>
      <c r="G249" s="19">
        <f t="shared" ref="G249:G258" si="148">G248+F249</f>
        <v>-1460</v>
      </c>
      <c r="H249" s="106"/>
      <c r="I249" s="107"/>
      <c r="J249" s="26">
        <f t="shared" ref="J249:J258" si="149">J248+I249</f>
        <v>-1460</v>
      </c>
      <c r="K249" s="117"/>
      <c r="L249" s="117"/>
      <c r="M249" s="38">
        <f t="shared" ref="M249:M258" si="150">M248+L249</f>
        <v>-1460</v>
      </c>
      <c r="N249" s="106"/>
      <c r="O249" s="107"/>
      <c r="P249" s="26">
        <f t="shared" ref="P249:P258" si="151">P248+O249</f>
        <v>-1460</v>
      </c>
      <c r="Q249" s="117"/>
      <c r="R249" s="117"/>
      <c r="S249" s="38">
        <f t="shared" ref="S249:S258" si="152">S248+R249</f>
        <v>-1460</v>
      </c>
      <c r="T249" s="106"/>
      <c r="U249" s="107"/>
      <c r="V249" s="20">
        <f t="shared" ref="V249:V258" si="153">V248+U249</f>
        <v>-1460</v>
      </c>
      <c r="W249" s="143"/>
    </row>
    <row r="250" spans="1:23" ht="15.75" customHeight="1">
      <c r="A250" s="114"/>
      <c r="B250" s="106"/>
      <c r="C250" s="107"/>
      <c r="D250" s="26">
        <f t="shared" si="147"/>
        <v>-1460</v>
      </c>
      <c r="E250" s="117"/>
      <c r="F250" s="117"/>
      <c r="G250" s="19">
        <f t="shared" si="148"/>
        <v>-1460</v>
      </c>
      <c r="H250" s="106"/>
      <c r="I250" s="107"/>
      <c r="J250" s="26">
        <f t="shared" si="149"/>
        <v>-1460</v>
      </c>
      <c r="K250" s="117"/>
      <c r="L250" s="117"/>
      <c r="M250" s="38">
        <f t="shared" si="150"/>
        <v>-1460</v>
      </c>
      <c r="N250" s="106"/>
      <c r="O250" s="107"/>
      <c r="P250" s="26">
        <f t="shared" si="151"/>
        <v>-1460</v>
      </c>
      <c r="Q250" s="117"/>
      <c r="R250" s="117"/>
      <c r="S250" s="38">
        <f t="shared" si="152"/>
        <v>-1460</v>
      </c>
      <c r="T250" s="106"/>
      <c r="U250" s="116"/>
      <c r="V250" s="20">
        <f t="shared" si="153"/>
        <v>-1460</v>
      </c>
      <c r="W250" s="143"/>
    </row>
    <row r="251" spans="1:23" ht="15.75" customHeight="1">
      <c r="A251" s="114"/>
      <c r="B251" s="106"/>
      <c r="C251" s="107"/>
      <c r="D251" s="26">
        <f t="shared" si="147"/>
        <v>-1460</v>
      </c>
      <c r="E251" s="117"/>
      <c r="F251" s="117"/>
      <c r="G251" s="19">
        <f t="shared" si="148"/>
        <v>-1460</v>
      </c>
      <c r="H251" s="106"/>
      <c r="I251" s="107"/>
      <c r="J251" s="26">
        <f t="shared" si="149"/>
        <v>-1460</v>
      </c>
      <c r="K251" s="117"/>
      <c r="L251" s="117"/>
      <c r="M251" s="38">
        <f t="shared" si="150"/>
        <v>-1460</v>
      </c>
      <c r="N251" s="106"/>
      <c r="O251" s="107"/>
      <c r="P251" s="26">
        <f t="shared" si="151"/>
        <v>-1460</v>
      </c>
      <c r="Q251" s="117"/>
      <c r="R251" s="117"/>
      <c r="S251" s="38">
        <f t="shared" si="152"/>
        <v>-1460</v>
      </c>
      <c r="T251" s="106"/>
      <c r="U251" s="116"/>
      <c r="V251" s="20">
        <f t="shared" si="153"/>
        <v>-1460</v>
      </c>
      <c r="W251" s="143"/>
    </row>
    <row r="252" spans="1:23" ht="15.75" customHeight="1">
      <c r="A252" s="114"/>
      <c r="B252" s="106"/>
      <c r="C252" s="107"/>
      <c r="D252" s="26">
        <f t="shared" si="147"/>
        <v>-1460</v>
      </c>
      <c r="E252" s="117"/>
      <c r="F252" s="117"/>
      <c r="G252" s="19">
        <f t="shared" si="148"/>
        <v>-1460</v>
      </c>
      <c r="H252" s="106"/>
      <c r="I252" s="107"/>
      <c r="J252" s="26">
        <f t="shared" si="149"/>
        <v>-1460</v>
      </c>
      <c r="K252" s="117"/>
      <c r="L252" s="117"/>
      <c r="M252" s="38">
        <f t="shared" si="150"/>
        <v>-1460</v>
      </c>
      <c r="N252" s="106"/>
      <c r="O252" s="107"/>
      <c r="P252" s="26">
        <f t="shared" si="151"/>
        <v>-1460</v>
      </c>
      <c r="Q252" s="117"/>
      <c r="R252" s="117"/>
      <c r="S252" s="38">
        <f t="shared" si="152"/>
        <v>-1460</v>
      </c>
      <c r="T252" s="106"/>
      <c r="U252" s="116"/>
      <c r="V252" s="20">
        <f t="shared" si="153"/>
        <v>-1460</v>
      </c>
      <c r="W252" s="143"/>
    </row>
    <row r="253" spans="1:23" ht="15.75" customHeight="1">
      <c r="A253" s="114"/>
      <c r="B253" s="106"/>
      <c r="C253" s="107"/>
      <c r="D253" s="26">
        <f t="shared" si="147"/>
        <v>-1460</v>
      </c>
      <c r="E253" s="117"/>
      <c r="F253" s="117"/>
      <c r="G253" s="19">
        <f t="shared" si="148"/>
        <v>-1460</v>
      </c>
      <c r="H253" s="106"/>
      <c r="I253" s="107"/>
      <c r="J253" s="26">
        <f t="shared" si="149"/>
        <v>-1460</v>
      </c>
      <c r="K253" s="117"/>
      <c r="L253" s="117"/>
      <c r="M253" s="38">
        <f t="shared" si="150"/>
        <v>-1460</v>
      </c>
      <c r="N253" s="106"/>
      <c r="O253" s="107"/>
      <c r="P253" s="26">
        <f t="shared" si="151"/>
        <v>-1460</v>
      </c>
      <c r="Q253" s="117"/>
      <c r="R253" s="117"/>
      <c r="S253" s="38">
        <f t="shared" si="152"/>
        <v>-1460</v>
      </c>
      <c r="T253" s="106"/>
      <c r="U253" s="116"/>
      <c r="V253" s="20">
        <f t="shared" si="153"/>
        <v>-1460</v>
      </c>
      <c r="W253" s="143"/>
    </row>
    <row r="254" spans="1:23" ht="15.75" customHeight="1">
      <c r="A254" s="114"/>
      <c r="B254" s="106"/>
      <c r="C254" s="107"/>
      <c r="D254" s="26">
        <f t="shared" si="147"/>
        <v>-1460</v>
      </c>
      <c r="E254" s="117"/>
      <c r="F254" s="117"/>
      <c r="G254" s="19">
        <f t="shared" si="148"/>
        <v>-1460</v>
      </c>
      <c r="H254" s="106"/>
      <c r="I254" s="107"/>
      <c r="J254" s="26">
        <f t="shared" si="149"/>
        <v>-1460</v>
      </c>
      <c r="K254" s="117"/>
      <c r="L254" s="117"/>
      <c r="M254" s="38">
        <f t="shared" si="150"/>
        <v>-1460</v>
      </c>
      <c r="N254" s="106"/>
      <c r="O254" s="107"/>
      <c r="P254" s="26">
        <f t="shared" si="151"/>
        <v>-1460</v>
      </c>
      <c r="Q254" s="117"/>
      <c r="R254" s="117"/>
      <c r="S254" s="38">
        <f t="shared" si="152"/>
        <v>-1460</v>
      </c>
      <c r="T254" s="106"/>
      <c r="U254" s="116"/>
      <c r="V254" s="20">
        <f t="shared" si="153"/>
        <v>-1460</v>
      </c>
      <c r="W254" s="143"/>
    </row>
    <row r="255" spans="1:23" ht="15.75" customHeight="1">
      <c r="A255" s="114"/>
      <c r="B255" s="106"/>
      <c r="C255" s="107"/>
      <c r="D255" s="26">
        <f t="shared" si="147"/>
        <v>-1460</v>
      </c>
      <c r="E255" s="117"/>
      <c r="F255" s="117"/>
      <c r="G255" s="19">
        <f t="shared" si="148"/>
        <v>-1460</v>
      </c>
      <c r="H255" s="106"/>
      <c r="I255" s="107"/>
      <c r="J255" s="26">
        <f t="shared" si="149"/>
        <v>-1460</v>
      </c>
      <c r="K255" s="117"/>
      <c r="L255" s="117"/>
      <c r="M255" s="38">
        <f t="shared" si="150"/>
        <v>-1460</v>
      </c>
      <c r="N255" s="106"/>
      <c r="O255" s="107"/>
      <c r="P255" s="26">
        <f t="shared" si="151"/>
        <v>-1460</v>
      </c>
      <c r="Q255" s="117"/>
      <c r="R255" s="117"/>
      <c r="S255" s="38">
        <f t="shared" si="152"/>
        <v>-1460</v>
      </c>
      <c r="T255" s="106"/>
      <c r="U255" s="116"/>
      <c r="V255" s="20">
        <f t="shared" si="153"/>
        <v>-1460</v>
      </c>
      <c r="W255" s="143"/>
    </row>
    <row r="256" spans="1:23" ht="15.75" customHeight="1">
      <c r="A256" s="114"/>
      <c r="B256" s="122"/>
      <c r="C256" s="123"/>
      <c r="D256" s="26">
        <f t="shared" si="147"/>
        <v>-1460</v>
      </c>
      <c r="E256" s="117"/>
      <c r="F256" s="117"/>
      <c r="G256" s="19">
        <f t="shared" si="148"/>
        <v>-1460</v>
      </c>
      <c r="H256" s="122"/>
      <c r="I256" s="123"/>
      <c r="J256" s="26">
        <f t="shared" si="149"/>
        <v>-1460</v>
      </c>
      <c r="K256" s="117"/>
      <c r="L256" s="117"/>
      <c r="M256" s="38">
        <f t="shared" si="150"/>
        <v>-1460</v>
      </c>
      <c r="N256" s="106"/>
      <c r="O256" s="107"/>
      <c r="P256" s="26">
        <f t="shared" si="151"/>
        <v>-1460</v>
      </c>
      <c r="Q256" s="117"/>
      <c r="R256" s="117"/>
      <c r="S256" s="38">
        <f t="shared" si="152"/>
        <v>-1460</v>
      </c>
      <c r="T256" s="106"/>
      <c r="U256" s="116"/>
      <c r="V256" s="20">
        <f t="shared" si="153"/>
        <v>-1460</v>
      </c>
      <c r="W256" s="143"/>
    </row>
    <row r="257" spans="1:23" ht="15.75" customHeight="1">
      <c r="A257" s="114"/>
      <c r="B257" s="122"/>
      <c r="C257" s="123"/>
      <c r="D257" s="26">
        <f t="shared" si="147"/>
        <v>-1460</v>
      </c>
      <c r="E257" s="117"/>
      <c r="F257" s="117"/>
      <c r="G257" s="19">
        <f t="shared" si="148"/>
        <v>-1460</v>
      </c>
      <c r="H257" s="122"/>
      <c r="I257" s="123"/>
      <c r="J257" s="26">
        <f t="shared" si="149"/>
        <v>-1460</v>
      </c>
      <c r="K257" s="117"/>
      <c r="L257" s="117"/>
      <c r="M257" s="38">
        <f t="shared" si="150"/>
        <v>-1460</v>
      </c>
      <c r="N257" s="122"/>
      <c r="O257" s="123"/>
      <c r="P257" s="26">
        <f t="shared" si="151"/>
        <v>-1460</v>
      </c>
      <c r="Q257" s="117"/>
      <c r="R257" s="117"/>
      <c r="S257" s="38">
        <f t="shared" si="152"/>
        <v>-1460</v>
      </c>
      <c r="T257" s="122"/>
      <c r="U257" s="124"/>
      <c r="V257" s="20">
        <f t="shared" si="153"/>
        <v>-1460</v>
      </c>
      <c r="W257" s="143"/>
    </row>
    <row r="258" spans="1:23" ht="15.75" customHeight="1">
      <c r="A258" s="114"/>
      <c r="B258" s="122"/>
      <c r="C258" s="123"/>
      <c r="D258" s="39">
        <f t="shared" si="147"/>
        <v>-1460</v>
      </c>
      <c r="E258" s="128"/>
      <c r="F258" s="128"/>
      <c r="G258" s="29">
        <f t="shared" si="148"/>
        <v>-1460</v>
      </c>
      <c r="H258" s="122"/>
      <c r="I258" s="123"/>
      <c r="J258" s="39">
        <f t="shared" si="149"/>
        <v>-1460</v>
      </c>
      <c r="K258" s="128"/>
      <c r="L258" s="128"/>
      <c r="M258" s="40">
        <f t="shared" si="150"/>
        <v>-1460</v>
      </c>
      <c r="N258" s="122"/>
      <c r="O258" s="123"/>
      <c r="P258" s="39">
        <f t="shared" si="151"/>
        <v>-1460</v>
      </c>
      <c r="Q258" s="128"/>
      <c r="R258" s="128"/>
      <c r="S258" s="40">
        <f t="shared" si="152"/>
        <v>-1460</v>
      </c>
      <c r="T258" s="122"/>
      <c r="U258" s="123"/>
      <c r="V258" s="49">
        <f t="shared" si="153"/>
        <v>-1460</v>
      </c>
      <c r="W258" s="143"/>
    </row>
    <row r="259" spans="1:23" ht="15.75" customHeight="1">
      <c r="A259" s="87"/>
      <c r="B259" s="77" t="str">
        <f ca="1">IFERROR(__xludf.DUMMYFUNCTION("DATE(VALUE(LEFT($B$2,4)),VALUE(MID($B$2,6,2)),VALUE(RIGHT($B$2,2)))
+ (VALUE(REGEXEXTRACT(INDIRECT(""A""&amp;ROW()+1),""\d+""))-1)*7
+ INT((COLUMN()-COLUMN($B259))/3)
"),"#VALUE!")</f>
        <v>#VALUE!</v>
      </c>
      <c r="C259" s="81"/>
      <c r="D259" s="82"/>
      <c r="E259" s="77" t="str">
        <f ca="1">IFERROR(__xludf.DUMMYFUNCTION("DATE(VALUE(LEFT($B$2,4)),VALUE(MID($B$2,6,2)),VALUE(RIGHT($B$2,2)))
+ (VALUE(REGEXEXTRACT(INDIRECT(""A""&amp;ROW()+1),""\d+""))-1)*7
+ INT((COLUMN()-COLUMN($B259))/3)
"),"#VALUE!")</f>
        <v>#VALUE!</v>
      </c>
      <c r="F259" s="81"/>
      <c r="G259" s="82"/>
      <c r="H259" s="77" t="str">
        <f ca="1">IFERROR(__xludf.DUMMYFUNCTION("DATE(VALUE(LEFT($B$2,4)),VALUE(MID($B$2,6,2)),VALUE(RIGHT($B$2,2)))
+ (VALUE(REGEXEXTRACT(INDIRECT(""A""&amp;ROW()+1),""\d+""))-1)*7
+ INT((COLUMN()-COLUMN($B259))/3)
"),"#VALUE!")</f>
        <v>#VALUE!</v>
      </c>
      <c r="I259" s="81"/>
      <c r="J259" s="82"/>
      <c r="K259" s="77" t="str">
        <f ca="1">IFERROR(__xludf.DUMMYFUNCTION("DATE(VALUE(LEFT($B$2,4)),VALUE(MID($B$2,6,2)),VALUE(RIGHT($B$2,2)))
+ (VALUE(REGEXEXTRACT(INDIRECT(""A""&amp;ROW()+1),""\d+""))-1)*7
+ INT((COLUMN()-COLUMN($B259))/3)
"),"#VALUE!")</f>
        <v>#VALUE!</v>
      </c>
      <c r="L259" s="81"/>
      <c r="M259" s="82"/>
      <c r="N259" s="77" t="str">
        <f ca="1">IFERROR(__xludf.DUMMYFUNCTION("DATE(VALUE(LEFT($B$2,4)),VALUE(MID($B$2,6,2)),VALUE(RIGHT($B$2,2)))
+ (VALUE(REGEXEXTRACT(INDIRECT(""A""&amp;ROW()+1),""\d+""))-1)*7
+ INT((COLUMN()-COLUMN($B259))/3)
"),"#VALUE!")</f>
        <v>#VALUE!</v>
      </c>
      <c r="O259" s="81"/>
      <c r="P259" s="82"/>
      <c r="Q259" s="77" t="str">
        <f ca="1">IFERROR(__xludf.DUMMYFUNCTION("DATE(VALUE(LEFT($B$2,4)),VALUE(MID($B$2,6,2)),VALUE(RIGHT($B$2,2)))
+ (VALUE(REGEXEXTRACT(INDIRECT(""A""&amp;ROW()+1),""\d+""))-1)*7
+ INT((COLUMN()-COLUMN($B259))/3)
"),"#VALUE!")</f>
        <v>#VALUE!</v>
      </c>
      <c r="R259" s="81"/>
      <c r="S259" s="82"/>
      <c r="T259" s="77" t="str">
        <f ca="1">IFERROR(__xludf.DUMMYFUNCTION("DATE(VALUE(LEFT($B$2,4)),VALUE(MID($B$2,6,2)),VALUE(RIGHT($B$2,2)))
+ (VALUE(REGEXEXTRACT(INDIRECT(""A""&amp;ROW()+1),""\d+""))-1)*7
+ INT((COLUMN()-COLUMN($B259))/3)
"),"#VALUE!")</f>
        <v>#VALUE!</v>
      </c>
      <c r="U259" s="81"/>
      <c r="V259" s="82"/>
      <c r="W259" s="52" t="s">
        <v>20</v>
      </c>
    </row>
    <row r="260" spans="1:23" ht="15.75" customHeight="1">
      <c r="A260" s="47" t="s">
        <v>106</v>
      </c>
      <c r="B260" s="109"/>
      <c r="C260" s="109"/>
      <c r="D260" s="42">
        <f>V258+C260</f>
        <v>-1460</v>
      </c>
      <c r="E260" s="112"/>
      <c r="F260" s="111"/>
      <c r="G260" s="48">
        <f>D270+F260</f>
        <v>-1460</v>
      </c>
      <c r="H260" s="149"/>
      <c r="I260" s="150"/>
      <c r="J260" s="54">
        <f>G270+I260</f>
        <v>-1460</v>
      </c>
      <c r="K260" s="110"/>
      <c r="L260" s="111"/>
      <c r="M260" s="18">
        <f>J270+L260</f>
        <v>-1460</v>
      </c>
      <c r="N260" s="113"/>
      <c r="O260" s="109"/>
      <c r="P260" s="35">
        <f>M270+O260</f>
        <v>-1460</v>
      </c>
      <c r="Q260" s="112"/>
      <c r="R260" s="111"/>
      <c r="S260" s="18">
        <f>P270+R260</f>
        <v>-1460</v>
      </c>
      <c r="T260" s="113"/>
      <c r="U260" s="109"/>
      <c r="V260" s="50">
        <f>S270+U260</f>
        <v>-1460</v>
      </c>
      <c r="W260" s="172"/>
    </row>
    <row r="261" spans="1:23" ht="15.75" customHeight="1">
      <c r="A261" s="114"/>
      <c r="B261" s="117"/>
      <c r="C261" s="117"/>
      <c r="D261" s="19">
        <f t="shared" ref="D261:D270" si="154">D260+C261</f>
        <v>-1460</v>
      </c>
      <c r="E261" s="116"/>
      <c r="F261" s="107"/>
      <c r="G261" s="20">
        <f t="shared" ref="G261:G270" si="155">G260+F261</f>
        <v>-1460</v>
      </c>
      <c r="H261" s="118"/>
      <c r="I261" s="117"/>
      <c r="J261" s="19">
        <f t="shared" ref="J261:J270" si="156">J260+I261</f>
        <v>-1460</v>
      </c>
      <c r="K261" s="116"/>
      <c r="L261" s="107"/>
      <c r="M261" s="26">
        <f t="shared" ref="M261:M270" si="157">M260+L261</f>
        <v>-1460</v>
      </c>
      <c r="N261" s="118"/>
      <c r="O261" s="117"/>
      <c r="P261" s="38">
        <f t="shared" ref="P261:P270" si="158">P260+O261</f>
        <v>-1460</v>
      </c>
      <c r="Q261" s="106"/>
      <c r="R261" s="107"/>
      <c r="S261" s="26">
        <f t="shared" ref="S261:S270" si="159">S260+R261</f>
        <v>-1460</v>
      </c>
      <c r="T261" s="136"/>
      <c r="U261" s="136"/>
      <c r="V261" s="45">
        <f t="shared" ref="V261:V270" si="160">V260+U261</f>
        <v>-1460</v>
      </c>
      <c r="W261" s="143"/>
    </row>
    <row r="262" spans="1:23" ht="15.75" customHeight="1">
      <c r="A262" s="114"/>
      <c r="B262" s="117"/>
      <c r="C262" s="117"/>
      <c r="D262" s="19">
        <f t="shared" si="154"/>
        <v>-1460</v>
      </c>
      <c r="E262" s="116"/>
      <c r="F262" s="107"/>
      <c r="G262" s="20">
        <f t="shared" si="155"/>
        <v>-1460</v>
      </c>
      <c r="H262" s="118"/>
      <c r="I262" s="117"/>
      <c r="J262" s="19">
        <f t="shared" si="156"/>
        <v>-1460</v>
      </c>
      <c r="K262" s="116"/>
      <c r="L262" s="107"/>
      <c r="M262" s="26">
        <f t="shared" si="157"/>
        <v>-1460</v>
      </c>
      <c r="N262" s="117"/>
      <c r="O262" s="117"/>
      <c r="P262" s="38">
        <f t="shared" si="158"/>
        <v>-1460</v>
      </c>
      <c r="Q262" s="106"/>
      <c r="R262" s="107"/>
      <c r="S262" s="26">
        <f t="shared" si="159"/>
        <v>-1460</v>
      </c>
      <c r="T262" s="136"/>
      <c r="U262" s="136"/>
      <c r="V262" s="45">
        <f t="shared" si="160"/>
        <v>-1460</v>
      </c>
      <c r="W262" s="143"/>
    </row>
    <row r="263" spans="1:23" ht="15.75" customHeight="1">
      <c r="A263" s="114"/>
      <c r="B263" s="117"/>
      <c r="C263" s="117"/>
      <c r="D263" s="19">
        <f t="shared" si="154"/>
        <v>-1460</v>
      </c>
      <c r="E263" s="116"/>
      <c r="F263" s="107"/>
      <c r="G263" s="20">
        <f t="shared" si="155"/>
        <v>-1460</v>
      </c>
      <c r="H263" s="118"/>
      <c r="I263" s="117"/>
      <c r="J263" s="19">
        <f t="shared" si="156"/>
        <v>-1460</v>
      </c>
      <c r="K263" s="116"/>
      <c r="L263" s="107"/>
      <c r="M263" s="26">
        <f t="shared" si="157"/>
        <v>-1460</v>
      </c>
      <c r="N263" s="117"/>
      <c r="O263" s="117"/>
      <c r="P263" s="38">
        <f t="shared" si="158"/>
        <v>-1460</v>
      </c>
      <c r="Q263" s="106"/>
      <c r="R263" s="107"/>
      <c r="S263" s="26">
        <f t="shared" si="159"/>
        <v>-1460</v>
      </c>
      <c r="T263" s="136"/>
      <c r="U263" s="136"/>
      <c r="V263" s="45">
        <f t="shared" si="160"/>
        <v>-1460</v>
      </c>
      <c r="W263" s="143"/>
    </row>
    <row r="264" spans="1:23" ht="15.75" customHeight="1">
      <c r="A264" s="114"/>
      <c r="B264" s="117"/>
      <c r="C264" s="117"/>
      <c r="D264" s="19">
        <f t="shared" si="154"/>
        <v>-1460</v>
      </c>
      <c r="E264" s="116"/>
      <c r="F264" s="107"/>
      <c r="G264" s="20">
        <f t="shared" si="155"/>
        <v>-1460</v>
      </c>
      <c r="H264" s="118"/>
      <c r="I264" s="117"/>
      <c r="J264" s="19">
        <f t="shared" si="156"/>
        <v>-1460</v>
      </c>
      <c r="K264" s="116"/>
      <c r="L264" s="107"/>
      <c r="M264" s="26">
        <f t="shared" si="157"/>
        <v>-1460</v>
      </c>
      <c r="N264" s="117"/>
      <c r="O264" s="117"/>
      <c r="P264" s="38">
        <f t="shared" si="158"/>
        <v>-1460</v>
      </c>
      <c r="Q264" s="106"/>
      <c r="R264" s="107"/>
      <c r="S264" s="26">
        <f t="shared" si="159"/>
        <v>-1460</v>
      </c>
      <c r="T264" s="136"/>
      <c r="U264" s="136"/>
      <c r="V264" s="45">
        <f t="shared" si="160"/>
        <v>-1460</v>
      </c>
      <c r="W264" s="143"/>
    </row>
    <row r="265" spans="1:23" ht="15.75" customHeight="1">
      <c r="A265" s="114"/>
      <c r="B265" s="118"/>
      <c r="C265" s="117"/>
      <c r="D265" s="19">
        <f t="shared" si="154"/>
        <v>-1460</v>
      </c>
      <c r="E265" s="116"/>
      <c r="F265" s="107"/>
      <c r="G265" s="20">
        <f t="shared" si="155"/>
        <v>-1460</v>
      </c>
      <c r="H265" s="118"/>
      <c r="I265" s="117"/>
      <c r="J265" s="19">
        <f t="shared" si="156"/>
        <v>-1460</v>
      </c>
      <c r="K265" s="116"/>
      <c r="L265" s="107"/>
      <c r="M265" s="26">
        <f t="shared" si="157"/>
        <v>-1460</v>
      </c>
      <c r="N265" s="117"/>
      <c r="O265" s="117"/>
      <c r="P265" s="38">
        <f t="shared" si="158"/>
        <v>-1460</v>
      </c>
      <c r="Q265" s="106"/>
      <c r="R265" s="107"/>
      <c r="S265" s="26">
        <f t="shared" si="159"/>
        <v>-1460</v>
      </c>
      <c r="T265" s="136"/>
      <c r="U265" s="136"/>
      <c r="V265" s="45">
        <f t="shared" si="160"/>
        <v>-1460</v>
      </c>
      <c r="W265" s="143"/>
    </row>
    <row r="266" spans="1:23" ht="15.75" customHeight="1">
      <c r="A266" s="114"/>
      <c r="B266" s="117"/>
      <c r="C266" s="117"/>
      <c r="D266" s="19">
        <f t="shared" si="154"/>
        <v>-1460</v>
      </c>
      <c r="E266" s="106"/>
      <c r="F266" s="107"/>
      <c r="G266" s="20">
        <f t="shared" si="155"/>
        <v>-1460</v>
      </c>
      <c r="H266" s="118"/>
      <c r="I266" s="117"/>
      <c r="J266" s="19">
        <f t="shared" si="156"/>
        <v>-1460</v>
      </c>
      <c r="K266" s="116"/>
      <c r="L266" s="107"/>
      <c r="M266" s="26">
        <f t="shared" si="157"/>
        <v>-1460</v>
      </c>
      <c r="N266" s="117"/>
      <c r="O266" s="117"/>
      <c r="P266" s="38">
        <f t="shared" si="158"/>
        <v>-1460</v>
      </c>
      <c r="Q266" s="106"/>
      <c r="R266" s="107"/>
      <c r="S266" s="26">
        <f t="shared" si="159"/>
        <v>-1460</v>
      </c>
      <c r="T266" s="136"/>
      <c r="U266" s="136"/>
      <c r="V266" s="45">
        <f t="shared" si="160"/>
        <v>-1460</v>
      </c>
      <c r="W266" s="143"/>
    </row>
    <row r="267" spans="1:23" ht="15.75" customHeight="1">
      <c r="A267" s="114"/>
      <c r="B267" s="117"/>
      <c r="C267" s="117"/>
      <c r="D267" s="19">
        <f t="shared" si="154"/>
        <v>-1460</v>
      </c>
      <c r="E267" s="106"/>
      <c r="F267" s="107"/>
      <c r="G267" s="20">
        <f t="shared" si="155"/>
        <v>-1460</v>
      </c>
      <c r="H267" s="118"/>
      <c r="I267" s="117"/>
      <c r="J267" s="19">
        <f t="shared" si="156"/>
        <v>-1460</v>
      </c>
      <c r="K267" s="116"/>
      <c r="L267" s="107"/>
      <c r="M267" s="26">
        <f t="shared" si="157"/>
        <v>-1460</v>
      </c>
      <c r="N267" s="117"/>
      <c r="O267" s="117"/>
      <c r="P267" s="38">
        <f t="shared" si="158"/>
        <v>-1460</v>
      </c>
      <c r="Q267" s="106"/>
      <c r="R267" s="107"/>
      <c r="S267" s="26">
        <f t="shared" si="159"/>
        <v>-1460</v>
      </c>
      <c r="T267" s="136"/>
      <c r="U267" s="136"/>
      <c r="V267" s="45">
        <f t="shared" si="160"/>
        <v>-1460</v>
      </c>
      <c r="W267" s="143"/>
    </row>
    <row r="268" spans="1:23" ht="15.75" customHeight="1">
      <c r="A268" s="114"/>
      <c r="B268" s="117"/>
      <c r="C268" s="117"/>
      <c r="D268" s="19">
        <f t="shared" si="154"/>
        <v>-1460</v>
      </c>
      <c r="E268" s="106"/>
      <c r="F268" s="107"/>
      <c r="G268" s="20">
        <f t="shared" si="155"/>
        <v>-1460</v>
      </c>
      <c r="H268" s="118"/>
      <c r="I268" s="117"/>
      <c r="J268" s="19">
        <f t="shared" si="156"/>
        <v>-1460</v>
      </c>
      <c r="K268" s="116"/>
      <c r="L268" s="107"/>
      <c r="M268" s="26">
        <f t="shared" si="157"/>
        <v>-1460</v>
      </c>
      <c r="N268" s="117"/>
      <c r="O268" s="117"/>
      <c r="P268" s="38">
        <f t="shared" si="158"/>
        <v>-1460</v>
      </c>
      <c r="Q268" s="106"/>
      <c r="R268" s="107"/>
      <c r="S268" s="26">
        <f t="shared" si="159"/>
        <v>-1460</v>
      </c>
      <c r="T268" s="136"/>
      <c r="U268" s="136"/>
      <c r="V268" s="45">
        <f t="shared" si="160"/>
        <v>-1460</v>
      </c>
      <c r="W268" s="143"/>
    </row>
    <row r="269" spans="1:23" ht="15.75" customHeight="1">
      <c r="A269" s="114"/>
      <c r="B269" s="117"/>
      <c r="C269" s="117"/>
      <c r="D269" s="19">
        <f t="shared" si="154"/>
        <v>-1460</v>
      </c>
      <c r="E269" s="122"/>
      <c r="F269" s="123"/>
      <c r="G269" s="20">
        <f t="shared" si="155"/>
        <v>-1460</v>
      </c>
      <c r="H269" s="118"/>
      <c r="I269" s="117"/>
      <c r="J269" s="19">
        <f t="shared" si="156"/>
        <v>-1460</v>
      </c>
      <c r="K269" s="124"/>
      <c r="L269" s="123"/>
      <c r="M269" s="26">
        <f t="shared" si="157"/>
        <v>-1460</v>
      </c>
      <c r="N269" s="117"/>
      <c r="O269" s="117"/>
      <c r="P269" s="38">
        <f t="shared" si="158"/>
        <v>-1460</v>
      </c>
      <c r="Q269" s="122"/>
      <c r="R269" s="123"/>
      <c r="S269" s="26">
        <f t="shared" si="159"/>
        <v>-1460</v>
      </c>
      <c r="T269" s="136"/>
      <c r="U269" s="136"/>
      <c r="V269" s="45">
        <f t="shared" si="160"/>
        <v>-1460</v>
      </c>
      <c r="W269" s="143"/>
    </row>
    <row r="270" spans="1:23" ht="15.75" customHeight="1">
      <c r="A270" s="114"/>
      <c r="B270" s="128"/>
      <c r="C270" s="128"/>
      <c r="D270" s="29">
        <f t="shared" si="154"/>
        <v>-1460</v>
      </c>
      <c r="E270" s="122"/>
      <c r="F270" s="123"/>
      <c r="G270" s="49">
        <f t="shared" si="155"/>
        <v>-1460</v>
      </c>
      <c r="H270" s="154"/>
      <c r="I270" s="128"/>
      <c r="J270" s="29">
        <f t="shared" si="156"/>
        <v>-1460</v>
      </c>
      <c r="K270" s="124"/>
      <c r="L270" s="123"/>
      <c r="M270" s="39">
        <f t="shared" si="157"/>
        <v>-1460</v>
      </c>
      <c r="N270" s="128"/>
      <c r="O270" s="128"/>
      <c r="P270" s="40">
        <f t="shared" si="158"/>
        <v>-1460</v>
      </c>
      <c r="Q270" s="122"/>
      <c r="R270" s="123"/>
      <c r="S270" s="39">
        <f t="shared" si="159"/>
        <v>-1460</v>
      </c>
      <c r="T270" s="141"/>
      <c r="U270" s="141"/>
      <c r="V270" s="46">
        <f t="shared" si="160"/>
        <v>-1460</v>
      </c>
      <c r="W270" s="143"/>
    </row>
    <row r="271" spans="1:23" ht="15.75" customHeight="1">
      <c r="A271" s="87"/>
      <c r="B271" s="77" t="str">
        <f ca="1">IFERROR(__xludf.DUMMYFUNCTION("DATE(VALUE(LEFT($B$2,4)),VALUE(MID($B$2,6,2)),VALUE(RIGHT($B$2,2)))
+ (VALUE(REGEXEXTRACT(INDIRECT(""A""&amp;ROW()+1),""\d+""))-1)*7
+ INT((COLUMN()-COLUMN($B271))/3)
"),"#VALUE!")</f>
        <v>#VALUE!</v>
      </c>
      <c r="C271" s="81"/>
      <c r="D271" s="82"/>
      <c r="E271" s="77" t="str">
        <f ca="1">IFERROR(__xludf.DUMMYFUNCTION("DATE(VALUE(LEFT($B$2,4)),VALUE(MID($B$2,6,2)),VALUE(RIGHT($B$2,2)))
+ (VALUE(REGEXEXTRACT(INDIRECT(""A""&amp;ROW()+1),""\d+""))-1)*7
+ INT((COLUMN()-COLUMN($B271))/3)
"),"#VALUE!")</f>
        <v>#VALUE!</v>
      </c>
      <c r="F271" s="81"/>
      <c r="G271" s="82"/>
      <c r="H271" s="77" t="str">
        <f ca="1">IFERROR(__xludf.DUMMYFUNCTION("DATE(VALUE(LEFT($B$2,4)),VALUE(MID($B$2,6,2)),VALUE(RIGHT($B$2,2)))
+ (VALUE(REGEXEXTRACT(INDIRECT(""A""&amp;ROW()+1),""\d+""))-1)*7
+ INT((COLUMN()-COLUMN($B271))/3)
"),"#VALUE!")</f>
        <v>#VALUE!</v>
      </c>
      <c r="I271" s="81"/>
      <c r="J271" s="82"/>
      <c r="K271" s="77" t="str">
        <f ca="1">IFERROR(__xludf.DUMMYFUNCTION("DATE(VALUE(LEFT($B$2,4)),VALUE(MID($B$2,6,2)),VALUE(RIGHT($B$2,2)))
+ (VALUE(REGEXEXTRACT(INDIRECT(""A""&amp;ROW()+1),""\d+""))-1)*7
+ INT((COLUMN()-COLUMN($B271))/3)
"),"#VALUE!")</f>
        <v>#VALUE!</v>
      </c>
      <c r="L271" s="81"/>
      <c r="M271" s="82"/>
      <c r="N271" s="77" t="str">
        <f ca="1">IFERROR(__xludf.DUMMYFUNCTION("DATE(VALUE(LEFT($B$2,4)),VALUE(MID($B$2,6,2)),VALUE(RIGHT($B$2,2)))
+ (VALUE(REGEXEXTRACT(INDIRECT(""A""&amp;ROW()+1),""\d+""))-1)*7
+ INT((COLUMN()-COLUMN($B271))/3)
"),"#VALUE!")</f>
        <v>#VALUE!</v>
      </c>
      <c r="O271" s="81"/>
      <c r="P271" s="82"/>
      <c r="Q271" s="77" t="str">
        <f ca="1">IFERROR(__xludf.DUMMYFUNCTION("DATE(VALUE(LEFT($B$2,4)),VALUE(MID($B$2,6,2)),VALUE(RIGHT($B$2,2)))
+ (VALUE(REGEXEXTRACT(INDIRECT(""A""&amp;ROW()+1),""\d+""))-1)*7
+ INT((COLUMN()-COLUMN($B271))/3)
"),"#VALUE!")</f>
        <v>#VALUE!</v>
      </c>
      <c r="R271" s="81"/>
      <c r="S271" s="82"/>
      <c r="T271" s="77" t="str">
        <f ca="1">IFERROR(__xludf.DUMMYFUNCTION("DATE(VALUE(LEFT($B$2,4)),VALUE(MID($B$2,6,2)),VALUE(RIGHT($B$2,2)))
+ (VALUE(REGEXEXTRACT(INDIRECT(""A""&amp;ROW()+1),""\d+""))-1)*7
+ INT((COLUMN()-COLUMN($B271))/3)
"),"#VALUE!")</f>
        <v>#VALUE!</v>
      </c>
      <c r="U271" s="81"/>
      <c r="V271" s="82"/>
      <c r="W271" s="143"/>
    </row>
    <row r="272" spans="1:23" ht="15.75" customHeight="1">
      <c r="A272" s="51" t="s">
        <v>118</v>
      </c>
      <c r="B272" s="112"/>
      <c r="C272" s="111"/>
      <c r="D272" s="17">
        <f>V270+C272</f>
        <v>-1460</v>
      </c>
      <c r="E272" s="109"/>
      <c r="F272" s="109"/>
      <c r="G272" s="50">
        <f>D282+F272</f>
        <v>-1460</v>
      </c>
      <c r="H272" s="112"/>
      <c r="I272" s="111"/>
      <c r="J272" s="17">
        <f>G282+I272</f>
        <v>-1460</v>
      </c>
      <c r="K272" s="132"/>
      <c r="L272" s="109"/>
      <c r="M272" s="56">
        <f>J282+L272</f>
        <v>-1460</v>
      </c>
      <c r="N272" s="110"/>
      <c r="O272" s="111"/>
      <c r="P272" s="17">
        <f>M282+O272</f>
        <v>-1460</v>
      </c>
      <c r="Q272" s="109"/>
      <c r="R272" s="109"/>
      <c r="S272" s="35">
        <f>P282+R272</f>
        <v>-1460</v>
      </c>
      <c r="T272" s="112"/>
      <c r="U272" s="111"/>
      <c r="V272" s="48">
        <f>S282+U272</f>
        <v>-1460</v>
      </c>
      <c r="W272" s="143"/>
    </row>
    <row r="273" spans="1:23" ht="15.75" customHeight="1">
      <c r="A273" s="114"/>
      <c r="B273" s="106"/>
      <c r="C273" s="107"/>
      <c r="D273" s="26">
        <f t="shared" ref="D273:D282" si="161">D272+C273</f>
        <v>-1460</v>
      </c>
      <c r="E273" s="117"/>
      <c r="F273" s="117"/>
      <c r="G273" s="45">
        <f t="shared" ref="G273:G282" si="162">G272+F273</f>
        <v>-1460</v>
      </c>
      <c r="H273" s="106"/>
      <c r="I273" s="107"/>
      <c r="J273" s="26">
        <f t="shared" ref="J273:J282" si="163">J272+I273</f>
        <v>-1460</v>
      </c>
      <c r="K273" s="133"/>
      <c r="L273" s="117"/>
      <c r="M273" s="57">
        <f t="shared" ref="M273:M282" si="164">M272+L273</f>
        <v>-1460</v>
      </c>
      <c r="N273" s="116"/>
      <c r="O273" s="107"/>
      <c r="P273" s="26">
        <f t="shared" ref="P273:P282" si="165">P272+O273</f>
        <v>-1460</v>
      </c>
      <c r="Q273" s="117"/>
      <c r="R273" s="117"/>
      <c r="S273" s="19">
        <f t="shared" ref="S273:S282" si="166">S272+R273</f>
        <v>-1460</v>
      </c>
      <c r="T273" s="116"/>
      <c r="U273" s="107"/>
      <c r="V273" s="20">
        <f t="shared" ref="V273:V282" si="167">V272+U273</f>
        <v>-1460</v>
      </c>
      <c r="W273" s="143"/>
    </row>
    <row r="274" spans="1:23" ht="15.75" customHeight="1">
      <c r="A274" s="114"/>
      <c r="B274" s="106"/>
      <c r="C274" s="107"/>
      <c r="D274" s="26">
        <f t="shared" si="161"/>
        <v>-1460</v>
      </c>
      <c r="E274" s="117"/>
      <c r="F274" s="117"/>
      <c r="G274" s="45">
        <f t="shared" si="162"/>
        <v>-1460</v>
      </c>
      <c r="H274" s="106"/>
      <c r="I274" s="107"/>
      <c r="J274" s="26">
        <f t="shared" si="163"/>
        <v>-1460</v>
      </c>
      <c r="K274" s="133"/>
      <c r="L274" s="117"/>
      <c r="M274" s="57">
        <f t="shared" si="164"/>
        <v>-1460</v>
      </c>
      <c r="N274" s="116"/>
      <c r="O274" s="107"/>
      <c r="P274" s="26">
        <f t="shared" si="165"/>
        <v>-1460</v>
      </c>
      <c r="Q274" s="117"/>
      <c r="R274" s="117"/>
      <c r="S274" s="19">
        <f t="shared" si="166"/>
        <v>-1460</v>
      </c>
      <c r="T274" s="116"/>
      <c r="U274" s="116"/>
      <c r="V274" s="20">
        <f t="shared" si="167"/>
        <v>-1460</v>
      </c>
      <c r="W274" s="143"/>
    </row>
    <row r="275" spans="1:23" ht="15.75" customHeight="1">
      <c r="A275" s="114"/>
      <c r="B275" s="106"/>
      <c r="C275" s="107"/>
      <c r="D275" s="26">
        <f t="shared" si="161"/>
        <v>-1460</v>
      </c>
      <c r="E275" s="117"/>
      <c r="F275" s="117"/>
      <c r="G275" s="45">
        <f t="shared" si="162"/>
        <v>-1460</v>
      </c>
      <c r="H275" s="106"/>
      <c r="I275" s="107"/>
      <c r="J275" s="26">
        <f t="shared" si="163"/>
        <v>-1460</v>
      </c>
      <c r="K275" s="133"/>
      <c r="L275" s="117"/>
      <c r="M275" s="57">
        <f t="shared" si="164"/>
        <v>-1460</v>
      </c>
      <c r="N275" s="116"/>
      <c r="O275" s="107"/>
      <c r="P275" s="26">
        <f t="shared" si="165"/>
        <v>-1460</v>
      </c>
      <c r="Q275" s="117"/>
      <c r="R275" s="117"/>
      <c r="S275" s="19">
        <f t="shared" si="166"/>
        <v>-1460</v>
      </c>
      <c r="T275" s="116"/>
      <c r="U275" s="116"/>
      <c r="V275" s="20">
        <f t="shared" si="167"/>
        <v>-1460</v>
      </c>
      <c r="W275" s="143"/>
    </row>
    <row r="276" spans="1:23" ht="15.75" customHeight="1">
      <c r="A276" s="114"/>
      <c r="B276" s="106"/>
      <c r="C276" s="107"/>
      <c r="D276" s="26">
        <f t="shared" si="161"/>
        <v>-1460</v>
      </c>
      <c r="E276" s="117"/>
      <c r="F276" s="117"/>
      <c r="G276" s="45">
        <f t="shared" si="162"/>
        <v>-1460</v>
      </c>
      <c r="H276" s="106"/>
      <c r="I276" s="107"/>
      <c r="J276" s="26">
        <f t="shared" si="163"/>
        <v>-1460</v>
      </c>
      <c r="K276" s="133"/>
      <c r="L276" s="117"/>
      <c r="M276" s="57">
        <f t="shared" si="164"/>
        <v>-1460</v>
      </c>
      <c r="N276" s="116"/>
      <c r="O276" s="107"/>
      <c r="P276" s="26">
        <f t="shared" si="165"/>
        <v>-1460</v>
      </c>
      <c r="Q276" s="117"/>
      <c r="R276" s="117"/>
      <c r="S276" s="19">
        <f t="shared" si="166"/>
        <v>-1460</v>
      </c>
      <c r="T276" s="116"/>
      <c r="U276" s="116"/>
      <c r="V276" s="20">
        <f t="shared" si="167"/>
        <v>-1460</v>
      </c>
      <c r="W276" s="143"/>
    </row>
    <row r="277" spans="1:23" ht="15.75" customHeight="1">
      <c r="A277" s="114"/>
      <c r="B277" s="106"/>
      <c r="C277" s="107"/>
      <c r="D277" s="26">
        <f t="shared" si="161"/>
        <v>-1460</v>
      </c>
      <c r="E277" s="117"/>
      <c r="F277" s="117"/>
      <c r="G277" s="45">
        <f t="shared" si="162"/>
        <v>-1460</v>
      </c>
      <c r="H277" s="106"/>
      <c r="I277" s="107"/>
      <c r="J277" s="26">
        <f t="shared" si="163"/>
        <v>-1460</v>
      </c>
      <c r="K277" s="133"/>
      <c r="L277" s="117"/>
      <c r="M277" s="57">
        <f t="shared" si="164"/>
        <v>-1460</v>
      </c>
      <c r="N277" s="116"/>
      <c r="O277" s="107"/>
      <c r="P277" s="26">
        <f t="shared" si="165"/>
        <v>-1460</v>
      </c>
      <c r="Q277" s="117"/>
      <c r="R277" s="117"/>
      <c r="S277" s="19">
        <f t="shared" si="166"/>
        <v>-1460</v>
      </c>
      <c r="T277" s="116"/>
      <c r="U277" s="116"/>
      <c r="V277" s="20">
        <f t="shared" si="167"/>
        <v>-1460</v>
      </c>
      <c r="W277" s="143"/>
    </row>
    <row r="278" spans="1:23" ht="15.75" customHeight="1">
      <c r="A278" s="114"/>
      <c r="B278" s="106"/>
      <c r="C278" s="107"/>
      <c r="D278" s="26">
        <f t="shared" si="161"/>
        <v>-1460</v>
      </c>
      <c r="E278" s="117"/>
      <c r="F278" s="117"/>
      <c r="G278" s="45">
        <f t="shared" si="162"/>
        <v>-1460</v>
      </c>
      <c r="H278" s="106"/>
      <c r="I278" s="107"/>
      <c r="J278" s="26">
        <f t="shared" si="163"/>
        <v>-1460</v>
      </c>
      <c r="K278" s="133"/>
      <c r="L278" s="117"/>
      <c r="M278" s="57">
        <f t="shared" si="164"/>
        <v>-1460</v>
      </c>
      <c r="N278" s="116"/>
      <c r="O278" s="107"/>
      <c r="P278" s="26">
        <f t="shared" si="165"/>
        <v>-1460</v>
      </c>
      <c r="Q278" s="117"/>
      <c r="R278" s="117"/>
      <c r="S278" s="19">
        <f t="shared" si="166"/>
        <v>-1460</v>
      </c>
      <c r="T278" s="116"/>
      <c r="U278" s="116"/>
      <c r="V278" s="20">
        <f t="shared" si="167"/>
        <v>-1460</v>
      </c>
      <c r="W278" s="143"/>
    </row>
    <row r="279" spans="1:23" ht="15.75" customHeight="1">
      <c r="A279" s="114"/>
      <c r="B279" s="106"/>
      <c r="C279" s="107"/>
      <c r="D279" s="26">
        <f t="shared" si="161"/>
        <v>-1460</v>
      </c>
      <c r="E279" s="117"/>
      <c r="F279" s="117"/>
      <c r="G279" s="45">
        <f t="shared" si="162"/>
        <v>-1460</v>
      </c>
      <c r="H279" s="106"/>
      <c r="I279" s="107"/>
      <c r="J279" s="26">
        <f t="shared" si="163"/>
        <v>-1460</v>
      </c>
      <c r="K279" s="133"/>
      <c r="L279" s="117"/>
      <c r="M279" s="57">
        <f t="shared" si="164"/>
        <v>-1460</v>
      </c>
      <c r="N279" s="116"/>
      <c r="O279" s="107"/>
      <c r="P279" s="26">
        <f t="shared" si="165"/>
        <v>-1460</v>
      </c>
      <c r="Q279" s="117"/>
      <c r="R279" s="117"/>
      <c r="S279" s="19">
        <f t="shared" si="166"/>
        <v>-1460</v>
      </c>
      <c r="T279" s="116"/>
      <c r="U279" s="116"/>
      <c r="V279" s="20">
        <f t="shared" si="167"/>
        <v>-1460</v>
      </c>
      <c r="W279" s="143"/>
    </row>
    <row r="280" spans="1:23" ht="15.75" customHeight="1">
      <c r="A280" s="114"/>
      <c r="B280" s="122"/>
      <c r="C280" s="123"/>
      <c r="D280" s="26">
        <f t="shared" si="161"/>
        <v>-1460</v>
      </c>
      <c r="E280" s="117"/>
      <c r="F280" s="117"/>
      <c r="G280" s="45">
        <f t="shared" si="162"/>
        <v>-1460</v>
      </c>
      <c r="H280" s="122"/>
      <c r="I280" s="123"/>
      <c r="J280" s="26">
        <f t="shared" si="163"/>
        <v>-1460</v>
      </c>
      <c r="K280" s="133"/>
      <c r="L280" s="117"/>
      <c r="M280" s="57">
        <f t="shared" si="164"/>
        <v>-1460</v>
      </c>
      <c r="N280" s="116"/>
      <c r="O280" s="107"/>
      <c r="P280" s="26">
        <f t="shared" si="165"/>
        <v>-1460</v>
      </c>
      <c r="Q280" s="117"/>
      <c r="R280" s="117"/>
      <c r="S280" s="19">
        <f t="shared" si="166"/>
        <v>-1460</v>
      </c>
      <c r="T280" s="116"/>
      <c r="U280" s="116"/>
      <c r="V280" s="20">
        <f t="shared" si="167"/>
        <v>-1460</v>
      </c>
      <c r="W280" s="143"/>
    </row>
    <row r="281" spans="1:23" ht="15.75" customHeight="1">
      <c r="A281" s="114"/>
      <c r="B281" s="122"/>
      <c r="C281" s="123"/>
      <c r="D281" s="26">
        <f t="shared" si="161"/>
        <v>-1460</v>
      </c>
      <c r="E281" s="117"/>
      <c r="F281" s="117"/>
      <c r="G281" s="45">
        <f t="shared" si="162"/>
        <v>-1460</v>
      </c>
      <c r="H281" s="122"/>
      <c r="I281" s="123"/>
      <c r="J281" s="26">
        <f t="shared" si="163"/>
        <v>-1460</v>
      </c>
      <c r="K281" s="133"/>
      <c r="L281" s="117"/>
      <c r="M281" s="57">
        <f t="shared" si="164"/>
        <v>-1460</v>
      </c>
      <c r="N281" s="116"/>
      <c r="O281" s="123"/>
      <c r="P281" s="26">
        <f t="shared" si="165"/>
        <v>-1460</v>
      </c>
      <c r="Q281" s="117"/>
      <c r="R281" s="117"/>
      <c r="S281" s="19">
        <f t="shared" si="166"/>
        <v>-1460</v>
      </c>
      <c r="T281" s="124"/>
      <c r="U281" s="124"/>
      <c r="V281" s="20">
        <f t="shared" si="167"/>
        <v>-1460</v>
      </c>
      <c r="W281" s="143"/>
    </row>
    <row r="282" spans="1:23" ht="15.75" customHeight="1">
      <c r="A282" s="114"/>
      <c r="B282" s="122"/>
      <c r="C282" s="123"/>
      <c r="D282" s="39">
        <f t="shared" si="161"/>
        <v>-1460</v>
      </c>
      <c r="E282" s="128"/>
      <c r="F282" s="128"/>
      <c r="G282" s="46">
        <f t="shared" si="162"/>
        <v>-1460</v>
      </c>
      <c r="H282" s="122"/>
      <c r="I282" s="123"/>
      <c r="J282" s="39">
        <f t="shared" si="163"/>
        <v>-1460</v>
      </c>
      <c r="K282" s="140"/>
      <c r="L282" s="128"/>
      <c r="M282" s="58">
        <f t="shared" si="164"/>
        <v>-1460</v>
      </c>
      <c r="N282" s="124"/>
      <c r="O282" s="123"/>
      <c r="P282" s="39">
        <f t="shared" si="165"/>
        <v>-1460</v>
      </c>
      <c r="Q282" s="128"/>
      <c r="R282" s="128"/>
      <c r="S282" s="29">
        <f t="shared" si="166"/>
        <v>-1460</v>
      </c>
      <c r="T282" s="124"/>
      <c r="U282" s="123"/>
      <c r="V282" s="49">
        <f t="shared" si="167"/>
        <v>-1460</v>
      </c>
      <c r="W282" s="143"/>
    </row>
    <row r="283" spans="1:23" ht="15.75" customHeight="1">
      <c r="A283" s="87"/>
      <c r="B283" s="77" t="str">
        <f ca="1">IFERROR(__xludf.DUMMYFUNCTION("DATE(VALUE(LEFT($B$2,4)),VALUE(MID($B$2,6,2)),VALUE(RIGHT($B$2,2)))
+ (VALUE(REGEXEXTRACT(INDIRECT(""A""&amp;ROW()+1),""\d+""))-1)*7
+ INT((COLUMN()-COLUMN($B283))/3)
"),"#VALUE!")</f>
        <v>#VALUE!</v>
      </c>
      <c r="C283" s="81"/>
      <c r="D283" s="82"/>
      <c r="E283" s="77" t="str">
        <f ca="1">IFERROR(__xludf.DUMMYFUNCTION("DATE(VALUE(LEFT($B$2,4)),VALUE(MID($B$2,6,2)),VALUE(RIGHT($B$2,2)))
+ (VALUE(REGEXEXTRACT(INDIRECT(""A""&amp;ROW()+1),""\d+""))-1)*7
+ INT((COLUMN()-COLUMN($B283))/3)
"),"#VALUE!")</f>
        <v>#VALUE!</v>
      </c>
      <c r="F283" s="81"/>
      <c r="G283" s="82"/>
      <c r="H283" s="77" t="str">
        <f ca="1">IFERROR(__xludf.DUMMYFUNCTION("DATE(VALUE(LEFT($B$2,4)),VALUE(MID($B$2,6,2)),VALUE(RIGHT($B$2,2)))
+ (VALUE(REGEXEXTRACT(INDIRECT(""A""&amp;ROW()+1),""\d+""))-1)*7
+ INT((COLUMN()-COLUMN($B283))/3)
"),"#VALUE!")</f>
        <v>#VALUE!</v>
      </c>
      <c r="I283" s="81"/>
      <c r="J283" s="82"/>
      <c r="K283" s="77" t="str">
        <f ca="1">IFERROR(__xludf.DUMMYFUNCTION("DATE(VALUE(LEFT($B$2,4)),VALUE(MID($B$2,6,2)),VALUE(RIGHT($B$2,2)))
+ (VALUE(REGEXEXTRACT(INDIRECT(""A""&amp;ROW()+1),""\d+""))-1)*7
+ INT((COLUMN()-COLUMN($B283))/3)
"),"#VALUE!")</f>
        <v>#VALUE!</v>
      </c>
      <c r="L283" s="81"/>
      <c r="M283" s="82"/>
      <c r="N283" s="77" t="str">
        <f ca="1">IFERROR(__xludf.DUMMYFUNCTION("DATE(VALUE(LEFT($B$2,4)),VALUE(MID($B$2,6,2)),VALUE(RIGHT($B$2,2)))
+ (VALUE(REGEXEXTRACT(INDIRECT(""A""&amp;ROW()+1),""\d+""))-1)*7
+ INT((COLUMN()-COLUMN($B283))/3)
"),"#VALUE!")</f>
        <v>#VALUE!</v>
      </c>
      <c r="O283" s="81"/>
      <c r="P283" s="82"/>
      <c r="Q283" s="77" t="str">
        <f ca="1">IFERROR(__xludf.DUMMYFUNCTION("DATE(VALUE(LEFT($B$2,4)),VALUE(MID($B$2,6,2)),VALUE(RIGHT($B$2,2)))
+ (VALUE(REGEXEXTRACT(INDIRECT(""A""&amp;ROW()+1),""\d+""))-1)*7
+ INT((COLUMN()-COLUMN($B283))/3)
"),"#VALUE!")</f>
        <v>#VALUE!</v>
      </c>
      <c r="R283" s="81"/>
      <c r="S283" s="82"/>
      <c r="T283" s="77" t="str">
        <f ca="1">IFERROR(__xludf.DUMMYFUNCTION("DATE(VALUE(LEFT($B$2,4)),VALUE(MID($B$2,6,2)),VALUE(RIGHT($B$2,2)))
+ (VALUE(REGEXEXTRACT(INDIRECT(""A""&amp;ROW()+1),""\d+""))-1)*7
+ INT((COLUMN()-COLUMN($B283))/3)
"),"#VALUE!")</f>
        <v>#VALUE!</v>
      </c>
      <c r="U283" s="81"/>
      <c r="V283" s="82"/>
      <c r="W283" s="52" t="s">
        <v>20</v>
      </c>
    </row>
    <row r="284" spans="1:23" ht="15.75" customHeight="1">
      <c r="A284" s="47" t="s">
        <v>153</v>
      </c>
      <c r="B284" s="109"/>
      <c r="C284" s="109"/>
      <c r="D284" s="42">
        <f>V282+C284</f>
        <v>-1460</v>
      </c>
      <c r="E284" s="112"/>
      <c r="F284" s="111"/>
      <c r="G284" s="48">
        <f>D294+F284</f>
        <v>-1460</v>
      </c>
      <c r="H284" s="113"/>
      <c r="I284" s="109"/>
      <c r="J284" s="42">
        <f>G294+I284</f>
        <v>-1460</v>
      </c>
      <c r="K284" s="110"/>
      <c r="L284" s="111"/>
      <c r="M284" s="18">
        <f>J294+L284</f>
        <v>-1460</v>
      </c>
      <c r="N284" s="113"/>
      <c r="O284" s="109"/>
      <c r="P284" s="35">
        <f>M294+O284</f>
        <v>-1460</v>
      </c>
      <c r="Q284" s="112"/>
      <c r="R284" s="111"/>
      <c r="S284" s="36">
        <f>P294+R284</f>
        <v>-1460</v>
      </c>
      <c r="T284" s="176"/>
      <c r="U284" s="173"/>
      <c r="V284" s="50">
        <f>S294+U284</f>
        <v>-1460</v>
      </c>
      <c r="W284" s="172"/>
    </row>
    <row r="285" spans="1:23" ht="15.75" customHeight="1">
      <c r="A285" s="114"/>
      <c r="B285" s="117"/>
      <c r="C285" s="117"/>
      <c r="D285" s="19">
        <f t="shared" ref="D285:D294" si="168">D284+C285</f>
        <v>-1460</v>
      </c>
      <c r="E285" s="106"/>
      <c r="F285" s="107"/>
      <c r="G285" s="20">
        <f t="shared" ref="G285:G294" si="169">G284+F285</f>
        <v>-1460</v>
      </c>
      <c r="H285" s="118"/>
      <c r="I285" s="117"/>
      <c r="J285" s="19">
        <f t="shared" ref="J285:J294" si="170">J284+I285</f>
        <v>-1460</v>
      </c>
      <c r="K285" s="116"/>
      <c r="L285" s="107"/>
      <c r="M285" s="26">
        <f t="shared" ref="M285:M294" si="171">M284+L285</f>
        <v>-1460</v>
      </c>
      <c r="N285" s="118"/>
      <c r="O285" s="117"/>
      <c r="P285" s="38">
        <f t="shared" ref="P285:P294" si="172">P284+O285</f>
        <v>-1460</v>
      </c>
      <c r="Q285" s="106"/>
      <c r="R285" s="107"/>
      <c r="S285" s="26">
        <f t="shared" ref="S285:S294" si="173">S284+R285</f>
        <v>-1460</v>
      </c>
      <c r="T285" s="177"/>
      <c r="U285" s="136"/>
      <c r="V285" s="45">
        <f t="shared" ref="V285:V294" si="174">V284+U285</f>
        <v>-1460</v>
      </c>
      <c r="W285" s="143"/>
    </row>
    <row r="286" spans="1:23" ht="15.75" customHeight="1">
      <c r="A286" s="114"/>
      <c r="B286" s="117"/>
      <c r="C286" s="117"/>
      <c r="D286" s="19">
        <f t="shared" si="168"/>
        <v>-1460</v>
      </c>
      <c r="E286" s="106"/>
      <c r="F286" s="107"/>
      <c r="G286" s="20">
        <f t="shared" si="169"/>
        <v>-1460</v>
      </c>
      <c r="H286" s="118"/>
      <c r="I286" s="117"/>
      <c r="J286" s="19">
        <f t="shared" si="170"/>
        <v>-1460</v>
      </c>
      <c r="K286" s="116"/>
      <c r="L286" s="107"/>
      <c r="M286" s="26">
        <f t="shared" si="171"/>
        <v>-1460</v>
      </c>
      <c r="N286" s="117"/>
      <c r="O286" s="117"/>
      <c r="P286" s="38">
        <f t="shared" si="172"/>
        <v>-1460</v>
      </c>
      <c r="Q286" s="106"/>
      <c r="R286" s="107"/>
      <c r="S286" s="26">
        <f t="shared" si="173"/>
        <v>-1460</v>
      </c>
      <c r="T286" s="177"/>
      <c r="U286" s="136"/>
      <c r="V286" s="45">
        <f t="shared" si="174"/>
        <v>-1460</v>
      </c>
      <c r="W286" s="143"/>
    </row>
    <row r="287" spans="1:23" ht="15.75" customHeight="1">
      <c r="A287" s="114"/>
      <c r="B287" s="117"/>
      <c r="C287" s="117"/>
      <c r="D287" s="19">
        <f t="shared" si="168"/>
        <v>-1460</v>
      </c>
      <c r="E287" s="106"/>
      <c r="F287" s="107"/>
      <c r="G287" s="20">
        <f t="shared" si="169"/>
        <v>-1460</v>
      </c>
      <c r="H287" s="118"/>
      <c r="I287" s="117"/>
      <c r="J287" s="19">
        <f t="shared" si="170"/>
        <v>-1460</v>
      </c>
      <c r="K287" s="116"/>
      <c r="L287" s="107"/>
      <c r="M287" s="26">
        <f t="shared" si="171"/>
        <v>-1460</v>
      </c>
      <c r="N287" s="117"/>
      <c r="O287" s="117"/>
      <c r="P287" s="38">
        <f t="shared" si="172"/>
        <v>-1460</v>
      </c>
      <c r="Q287" s="106"/>
      <c r="R287" s="107"/>
      <c r="S287" s="26">
        <f t="shared" si="173"/>
        <v>-1460</v>
      </c>
      <c r="T287" s="177"/>
      <c r="U287" s="136"/>
      <c r="V287" s="45">
        <f t="shared" si="174"/>
        <v>-1460</v>
      </c>
      <c r="W287" s="143"/>
    </row>
    <row r="288" spans="1:23" ht="15.75" customHeight="1">
      <c r="A288" s="114"/>
      <c r="B288" s="117"/>
      <c r="C288" s="117"/>
      <c r="D288" s="19">
        <f t="shared" si="168"/>
        <v>-1460</v>
      </c>
      <c r="E288" s="106"/>
      <c r="F288" s="107"/>
      <c r="G288" s="20">
        <f t="shared" si="169"/>
        <v>-1460</v>
      </c>
      <c r="H288" s="118"/>
      <c r="I288" s="117"/>
      <c r="J288" s="19">
        <f t="shared" si="170"/>
        <v>-1460</v>
      </c>
      <c r="K288" s="116"/>
      <c r="L288" s="107"/>
      <c r="M288" s="26">
        <f t="shared" si="171"/>
        <v>-1460</v>
      </c>
      <c r="N288" s="117"/>
      <c r="O288" s="117"/>
      <c r="P288" s="38">
        <f t="shared" si="172"/>
        <v>-1460</v>
      </c>
      <c r="Q288" s="106"/>
      <c r="R288" s="107"/>
      <c r="S288" s="26">
        <f t="shared" si="173"/>
        <v>-1460</v>
      </c>
      <c r="T288" s="177"/>
      <c r="U288" s="136"/>
      <c r="V288" s="45">
        <f t="shared" si="174"/>
        <v>-1460</v>
      </c>
      <c r="W288" s="143"/>
    </row>
    <row r="289" spans="1:23" ht="15.75" customHeight="1">
      <c r="A289" s="114"/>
      <c r="B289" s="118"/>
      <c r="C289" s="117"/>
      <c r="D289" s="19">
        <f t="shared" si="168"/>
        <v>-1460</v>
      </c>
      <c r="E289" s="106"/>
      <c r="F289" s="107"/>
      <c r="G289" s="20">
        <f t="shared" si="169"/>
        <v>-1460</v>
      </c>
      <c r="H289" s="118"/>
      <c r="I289" s="117"/>
      <c r="J289" s="19">
        <f t="shared" si="170"/>
        <v>-1460</v>
      </c>
      <c r="K289" s="116"/>
      <c r="L289" s="107"/>
      <c r="M289" s="26">
        <f t="shared" si="171"/>
        <v>-1460</v>
      </c>
      <c r="N289" s="117"/>
      <c r="O289" s="117"/>
      <c r="P289" s="38">
        <f t="shared" si="172"/>
        <v>-1460</v>
      </c>
      <c r="Q289" s="106"/>
      <c r="R289" s="107"/>
      <c r="S289" s="26">
        <f t="shared" si="173"/>
        <v>-1460</v>
      </c>
      <c r="T289" s="177"/>
      <c r="U289" s="136"/>
      <c r="V289" s="45">
        <f t="shared" si="174"/>
        <v>-1460</v>
      </c>
      <c r="W289" s="143"/>
    </row>
    <row r="290" spans="1:23" ht="15.75" customHeight="1">
      <c r="A290" s="114"/>
      <c r="B290" s="117"/>
      <c r="C290" s="117"/>
      <c r="D290" s="19">
        <f t="shared" si="168"/>
        <v>-1460</v>
      </c>
      <c r="E290" s="106"/>
      <c r="F290" s="107"/>
      <c r="G290" s="20">
        <f t="shared" si="169"/>
        <v>-1460</v>
      </c>
      <c r="H290" s="118"/>
      <c r="I290" s="117"/>
      <c r="J290" s="19">
        <f t="shared" si="170"/>
        <v>-1460</v>
      </c>
      <c r="K290" s="116"/>
      <c r="L290" s="107"/>
      <c r="M290" s="26">
        <f t="shared" si="171"/>
        <v>-1460</v>
      </c>
      <c r="N290" s="117"/>
      <c r="O290" s="117"/>
      <c r="P290" s="38">
        <f t="shared" si="172"/>
        <v>-1460</v>
      </c>
      <c r="Q290" s="106"/>
      <c r="R290" s="107"/>
      <c r="S290" s="26">
        <f t="shared" si="173"/>
        <v>-1460</v>
      </c>
      <c r="T290" s="177"/>
      <c r="U290" s="136"/>
      <c r="V290" s="45">
        <f t="shared" si="174"/>
        <v>-1460</v>
      </c>
      <c r="W290" s="143"/>
    </row>
    <row r="291" spans="1:23" ht="15.75" customHeight="1">
      <c r="A291" s="114"/>
      <c r="B291" s="117"/>
      <c r="C291" s="117"/>
      <c r="D291" s="19">
        <f t="shared" si="168"/>
        <v>-1460</v>
      </c>
      <c r="E291" s="106"/>
      <c r="F291" s="107"/>
      <c r="G291" s="20">
        <f t="shared" si="169"/>
        <v>-1460</v>
      </c>
      <c r="H291" s="118"/>
      <c r="I291" s="117"/>
      <c r="J291" s="19">
        <f t="shared" si="170"/>
        <v>-1460</v>
      </c>
      <c r="K291" s="116"/>
      <c r="L291" s="107"/>
      <c r="M291" s="26">
        <f t="shared" si="171"/>
        <v>-1460</v>
      </c>
      <c r="N291" s="117"/>
      <c r="O291" s="117"/>
      <c r="P291" s="38">
        <f t="shared" si="172"/>
        <v>-1460</v>
      </c>
      <c r="Q291" s="106"/>
      <c r="R291" s="107"/>
      <c r="S291" s="26">
        <f t="shared" si="173"/>
        <v>-1460</v>
      </c>
      <c r="T291" s="177"/>
      <c r="U291" s="136"/>
      <c r="V291" s="45">
        <f t="shared" si="174"/>
        <v>-1460</v>
      </c>
      <c r="W291" s="143"/>
    </row>
    <row r="292" spans="1:23" ht="15.75" customHeight="1">
      <c r="A292" s="114"/>
      <c r="B292" s="117"/>
      <c r="C292" s="117"/>
      <c r="D292" s="19">
        <f t="shared" si="168"/>
        <v>-1460</v>
      </c>
      <c r="E292" s="106"/>
      <c r="F292" s="107"/>
      <c r="G292" s="20">
        <f t="shared" si="169"/>
        <v>-1460</v>
      </c>
      <c r="H292" s="118"/>
      <c r="I292" s="117"/>
      <c r="J292" s="19">
        <f t="shared" si="170"/>
        <v>-1460</v>
      </c>
      <c r="K292" s="116"/>
      <c r="L292" s="107"/>
      <c r="M292" s="26">
        <f t="shared" si="171"/>
        <v>-1460</v>
      </c>
      <c r="N292" s="117"/>
      <c r="O292" s="117"/>
      <c r="P292" s="38">
        <f t="shared" si="172"/>
        <v>-1460</v>
      </c>
      <c r="Q292" s="106"/>
      <c r="R292" s="107"/>
      <c r="S292" s="26">
        <f t="shared" si="173"/>
        <v>-1460</v>
      </c>
      <c r="T292" s="177"/>
      <c r="U292" s="136"/>
      <c r="V292" s="45">
        <f t="shared" si="174"/>
        <v>-1460</v>
      </c>
      <c r="W292" s="143"/>
    </row>
    <row r="293" spans="1:23" ht="15.75" customHeight="1">
      <c r="A293" s="114"/>
      <c r="B293" s="117"/>
      <c r="C293" s="117"/>
      <c r="D293" s="19">
        <f t="shared" si="168"/>
        <v>-1460</v>
      </c>
      <c r="E293" s="122"/>
      <c r="F293" s="123"/>
      <c r="G293" s="20">
        <f t="shared" si="169"/>
        <v>-1460</v>
      </c>
      <c r="H293" s="118"/>
      <c r="I293" s="117"/>
      <c r="J293" s="19">
        <f t="shared" si="170"/>
        <v>-1460</v>
      </c>
      <c r="K293" s="124"/>
      <c r="L293" s="123"/>
      <c r="M293" s="26">
        <f t="shared" si="171"/>
        <v>-1460</v>
      </c>
      <c r="N293" s="117"/>
      <c r="O293" s="117"/>
      <c r="P293" s="38">
        <f t="shared" si="172"/>
        <v>-1460</v>
      </c>
      <c r="Q293" s="122"/>
      <c r="R293" s="123"/>
      <c r="S293" s="26">
        <f t="shared" si="173"/>
        <v>-1460</v>
      </c>
      <c r="T293" s="177"/>
      <c r="U293" s="136"/>
      <c r="V293" s="45">
        <f t="shared" si="174"/>
        <v>-1460</v>
      </c>
      <c r="W293" s="143"/>
    </row>
    <row r="294" spans="1:23" ht="15.75" customHeight="1">
      <c r="A294" s="114"/>
      <c r="B294" s="128"/>
      <c r="C294" s="128"/>
      <c r="D294" s="29">
        <f t="shared" si="168"/>
        <v>-1460</v>
      </c>
      <c r="E294" s="122"/>
      <c r="F294" s="123"/>
      <c r="G294" s="49">
        <f t="shared" si="169"/>
        <v>-1460</v>
      </c>
      <c r="H294" s="154"/>
      <c r="I294" s="128"/>
      <c r="J294" s="29">
        <f t="shared" si="170"/>
        <v>-1460</v>
      </c>
      <c r="K294" s="124"/>
      <c r="L294" s="123"/>
      <c r="M294" s="39">
        <f t="shared" si="171"/>
        <v>-1460</v>
      </c>
      <c r="N294" s="128"/>
      <c r="O294" s="128"/>
      <c r="P294" s="40">
        <f t="shared" si="172"/>
        <v>-1460</v>
      </c>
      <c r="Q294" s="122"/>
      <c r="R294" s="123"/>
      <c r="S294" s="39">
        <f t="shared" si="173"/>
        <v>-1460</v>
      </c>
      <c r="T294" s="178"/>
      <c r="U294" s="141"/>
      <c r="V294" s="46">
        <f t="shared" si="174"/>
        <v>-1460</v>
      </c>
      <c r="W294" s="143"/>
    </row>
    <row r="295" spans="1:23" ht="15.75" customHeight="1">
      <c r="A295" s="87"/>
      <c r="B295" s="77" t="str">
        <f ca="1">IFERROR(__xludf.DUMMYFUNCTION("DATE(VALUE(LEFT($B$2,4)),VALUE(MID($B$2,6,2)),VALUE(RIGHT($B$2,2)))
+ (VALUE(REGEXEXTRACT(INDIRECT(""A""&amp;ROW()+1),""\d+""))-1)*7
+ INT((COLUMN()-COLUMN($B295))/3)
"),"#VALUE!")</f>
        <v>#VALUE!</v>
      </c>
      <c r="C295" s="81"/>
      <c r="D295" s="82"/>
      <c r="E295" s="77" t="str">
        <f ca="1">IFERROR(__xludf.DUMMYFUNCTION("DATE(VALUE(LEFT($B$2,4)),VALUE(MID($B$2,6,2)),VALUE(RIGHT($B$2,2)))
+ (VALUE(REGEXEXTRACT(INDIRECT(""A""&amp;ROW()+1),""\d+""))-1)*7
+ INT((COLUMN()-COLUMN($B295))/3)
"),"#VALUE!")</f>
        <v>#VALUE!</v>
      </c>
      <c r="F295" s="81"/>
      <c r="G295" s="82"/>
      <c r="H295" s="77" t="str">
        <f ca="1">IFERROR(__xludf.DUMMYFUNCTION("DATE(VALUE(LEFT($B$2,4)),VALUE(MID($B$2,6,2)),VALUE(RIGHT($B$2,2)))
+ (VALUE(REGEXEXTRACT(INDIRECT(""A""&amp;ROW()+1),""\d+""))-1)*7
+ INT((COLUMN()-COLUMN($B295))/3)
"),"#VALUE!")</f>
        <v>#VALUE!</v>
      </c>
      <c r="I295" s="81"/>
      <c r="J295" s="82"/>
      <c r="K295" s="77" t="str">
        <f ca="1">IFERROR(__xludf.DUMMYFUNCTION("DATE(VALUE(LEFT($B$2,4)),VALUE(MID($B$2,6,2)),VALUE(RIGHT($B$2,2)))
+ (VALUE(REGEXEXTRACT(INDIRECT(""A""&amp;ROW()+1),""\d+""))-1)*7
+ INT((COLUMN()-COLUMN($B295))/3)
"),"#VALUE!")</f>
        <v>#VALUE!</v>
      </c>
      <c r="L295" s="81"/>
      <c r="M295" s="82"/>
      <c r="N295" s="77" t="str">
        <f ca="1">IFERROR(__xludf.DUMMYFUNCTION("DATE(VALUE(LEFT($B$2,4)),VALUE(MID($B$2,6,2)),VALUE(RIGHT($B$2,2)))
+ (VALUE(REGEXEXTRACT(INDIRECT(""A""&amp;ROW()+1),""\d+""))-1)*7
+ INT((COLUMN()-COLUMN($B295))/3)
"),"#VALUE!")</f>
        <v>#VALUE!</v>
      </c>
      <c r="O295" s="81"/>
      <c r="P295" s="82"/>
      <c r="Q295" s="77" t="str">
        <f ca="1">IFERROR(__xludf.DUMMYFUNCTION("DATE(VALUE(LEFT($B$2,4)),VALUE(MID($B$2,6,2)),VALUE(RIGHT($B$2,2)))
+ (VALUE(REGEXEXTRACT(INDIRECT(""A""&amp;ROW()+1),""\d+""))-1)*7
+ INT((COLUMN()-COLUMN($B295))/3)
"),"#VALUE!")</f>
        <v>#VALUE!</v>
      </c>
      <c r="R295" s="81"/>
      <c r="S295" s="82"/>
      <c r="T295" s="77" t="str">
        <f ca="1">IFERROR(__xludf.DUMMYFUNCTION("DATE(VALUE(LEFT($B$2,4)),VALUE(MID($B$2,6,2)),VALUE(RIGHT($B$2,2)))
+ (VALUE(REGEXEXTRACT(INDIRECT(""A""&amp;ROW()+1),""\d+""))-1)*7
+ INT((COLUMN()-COLUMN($B295))/3)
"),"#VALUE!")</f>
        <v>#VALUE!</v>
      </c>
      <c r="U295" s="81"/>
      <c r="V295" s="82"/>
      <c r="W295" s="143"/>
    </row>
    <row r="296" spans="1:23" ht="15.75" customHeight="1">
      <c r="A296" s="51" t="s">
        <v>154</v>
      </c>
      <c r="B296" s="112"/>
      <c r="C296" s="111"/>
      <c r="D296" s="17">
        <f>V294+C296</f>
        <v>-1460</v>
      </c>
      <c r="E296" s="109"/>
      <c r="F296" s="109"/>
      <c r="G296" s="42">
        <f>D306+F296</f>
        <v>-1460</v>
      </c>
      <c r="H296" s="112"/>
      <c r="I296" s="111"/>
      <c r="J296" s="17">
        <f>G306+I296</f>
        <v>-1460</v>
      </c>
      <c r="K296" s="109"/>
      <c r="L296" s="109"/>
      <c r="M296" s="35">
        <f>J306+L296</f>
        <v>-1460</v>
      </c>
      <c r="N296" s="112"/>
      <c r="O296" s="111"/>
      <c r="P296" s="17">
        <f>M306+O296</f>
        <v>-1460</v>
      </c>
      <c r="Q296" s="109"/>
      <c r="R296" s="109"/>
      <c r="S296" s="42">
        <f>P306+R296</f>
        <v>-1460</v>
      </c>
      <c r="T296" s="110"/>
      <c r="U296" s="111"/>
      <c r="V296" s="48">
        <f>S306+U296</f>
        <v>-1460</v>
      </c>
      <c r="W296" s="143"/>
    </row>
    <row r="297" spans="1:23" ht="15.75" customHeight="1">
      <c r="A297" s="114"/>
      <c r="B297" s="106"/>
      <c r="C297" s="107"/>
      <c r="D297" s="26">
        <f t="shared" ref="D297:D306" si="175">D296+C297</f>
        <v>-1460</v>
      </c>
      <c r="E297" s="117"/>
      <c r="F297" s="117"/>
      <c r="G297" s="19">
        <f t="shared" ref="G297:G306" si="176">G296+F297</f>
        <v>-1460</v>
      </c>
      <c r="H297" s="106"/>
      <c r="I297" s="107"/>
      <c r="J297" s="26">
        <f t="shared" ref="J297:J306" si="177">J296+I297</f>
        <v>-1460</v>
      </c>
      <c r="K297" s="117"/>
      <c r="L297" s="117"/>
      <c r="M297" s="38">
        <f t="shared" ref="M297:M306" si="178">M296+L297</f>
        <v>-1460</v>
      </c>
      <c r="N297" s="106"/>
      <c r="O297" s="107"/>
      <c r="P297" s="26">
        <f t="shared" ref="P297:P306" si="179">P296+O297</f>
        <v>-1460</v>
      </c>
      <c r="Q297" s="117"/>
      <c r="R297" s="117"/>
      <c r="S297" s="19">
        <f t="shared" ref="S297:S306" si="180">S296+R297</f>
        <v>-1460</v>
      </c>
      <c r="T297" s="106"/>
      <c r="U297" s="107"/>
      <c r="V297" s="20">
        <f t="shared" ref="V297:V306" si="181">V296+U297</f>
        <v>-1460</v>
      </c>
      <c r="W297" s="143"/>
    </row>
    <row r="298" spans="1:23" ht="15.75" customHeight="1">
      <c r="A298" s="114"/>
      <c r="B298" s="106"/>
      <c r="C298" s="107"/>
      <c r="D298" s="26">
        <f t="shared" si="175"/>
        <v>-1460</v>
      </c>
      <c r="E298" s="117"/>
      <c r="F298" s="117"/>
      <c r="G298" s="19">
        <f t="shared" si="176"/>
        <v>-1460</v>
      </c>
      <c r="H298" s="106"/>
      <c r="I298" s="107"/>
      <c r="J298" s="26">
        <f t="shared" si="177"/>
        <v>-1460</v>
      </c>
      <c r="K298" s="117"/>
      <c r="L298" s="117"/>
      <c r="M298" s="38">
        <f t="shared" si="178"/>
        <v>-1460</v>
      </c>
      <c r="N298" s="106"/>
      <c r="O298" s="107"/>
      <c r="P298" s="26">
        <f t="shared" si="179"/>
        <v>-1460</v>
      </c>
      <c r="Q298" s="117"/>
      <c r="R298" s="117"/>
      <c r="S298" s="19">
        <f t="shared" si="180"/>
        <v>-1460</v>
      </c>
      <c r="T298" s="106"/>
      <c r="U298" s="107"/>
      <c r="V298" s="20">
        <f t="shared" si="181"/>
        <v>-1460</v>
      </c>
      <c r="W298" s="143"/>
    </row>
    <row r="299" spans="1:23" ht="15.75" customHeight="1">
      <c r="A299" s="114"/>
      <c r="B299" s="106"/>
      <c r="C299" s="107"/>
      <c r="D299" s="26">
        <f t="shared" si="175"/>
        <v>-1460</v>
      </c>
      <c r="E299" s="117"/>
      <c r="F299" s="117"/>
      <c r="G299" s="19">
        <f t="shared" si="176"/>
        <v>-1460</v>
      </c>
      <c r="H299" s="106"/>
      <c r="I299" s="107"/>
      <c r="J299" s="26">
        <f t="shared" si="177"/>
        <v>-1460</v>
      </c>
      <c r="K299" s="117"/>
      <c r="L299" s="117"/>
      <c r="M299" s="38">
        <f t="shared" si="178"/>
        <v>-1460</v>
      </c>
      <c r="N299" s="106"/>
      <c r="O299" s="107"/>
      <c r="P299" s="26">
        <f t="shared" si="179"/>
        <v>-1460</v>
      </c>
      <c r="Q299" s="117"/>
      <c r="R299" s="117"/>
      <c r="S299" s="19">
        <f t="shared" si="180"/>
        <v>-1460</v>
      </c>
      <c r="T299" s="116"/>
      <c r="U299" s="116"/>
      <c r="V299" s="20">
        <f t="shared" si="181"/>
        <v>-1460</v>
      </c>
      <c r="W299" s="143"/>
    </row>
    <row r="300" spans="1:23" ht="15.75" customHeight="1">
      <c r="A300" s="114"/>
      <c r="B300" s="106"/>
      <c r="C300" s="107"/>
      <c r="D300" s="26">
        <f t="shared" si="175"/>
        <v>-1460</v>
      </c>
      <c r="E300" s="117"/>
      <c r="F300" s="117"/>
      <c r="G300" s="19">
        <f t="shared" si="176"/>
        <v>-1460</v>
      </c>
      <c r="H300" s="106"/>
      <c r="I300" s="107"/>
      <c r="J300" s="26">
        <f t="shared" si="177"/>
        <v>-1460</v>
      </c>
      <c r="K300" s="117"/>
      <c r="L300" s="117"/>
      <c r="M300" s="38">
        <f t="shared" si="178"/>
        <v>-1460</v>
      </c>
      <c r="N300" s="106"/>
      <c r="O300" s="107"/>
      <c r="P300" s="26">
        <f t="shared" si="179"/>
        <v>-1460</v>
      </c>
      <c r="Q300" s="117"/>
      <c r="R300" s="117"/>
      <c r="S300" s="19">
        <f t="shared" si="180"/>
        <v>-1460</v>
      </c>
      <c r="T300" s="116"/>
      <c r="U300" s="116"/>
      <c r="V300" s="20">
        <f t="shared" si="181"/>
        <v>-1460</v>
      </c>
      <c r="W300" s="143"/>
    </row>
    <row r="301" spans="1:23" ht="15.75" customHeight="1">
      <c r="A301" s="114"/>
      <c r="B301" s="106"/>
      <c r="C301" s="107"/>
      <c r="D301" s="26">
        <f t="shared" si="175"/>
        <v>-1460</v>
      </c>
      <c r="E301" s="117"/>
      <c r="F301" s="117"/>
      <c r="G301" s="19">
        <f t="shared" si="176"/>
        <v>-1460</v>
      </c>
      <c r="H301" s="106"/>
      <c r="I301" s="107"/>
      <c r="J301" s="26">
        <f t="shared" si="177"/>
        <v>-1460</v>
      </c>
      <c r="K301" s="117"/>
      <c r="L301" s="117"/>
      <c r="M301" s="38">
        <f t="shared" si="178"/>
        <v>-1460</v>
      </c>
      <c r="N301" s="106"/>
      <c r="O301" s="107"/>
      <c r="P301" s="26">
        <f t="shared" si="179"/>
        <v>-1460</v>
      </c>
      <c r="Q301" s="117"/>
      <c r="R301" s="117"/>
      <c r="S301" s="19">
        <f t="shared" si="180"/>
        <v>-1460</v>
      </c>
      <c r="T301" s="116"/>
      <c r="U301" s="116"/>
      <c r="V301" s="20">
        <f t="shared" si="181"/>
        <v>-1460</v>
      </c>
      <c r="W301" s="143"/>
    </row>
    <row r="302" spans="1:23" ht="15.75" customHeight="1">
      <c r="A302" s="114"/>
      <c r="B302" s="106"/>
      <c r="C302" s="107"/>
      <c r="D302" s="26">
        <f t="shared" si="175"/>
        <v>-1460</v>
      </c>
      <c r="E302" s="117"/>
      <c r="F302" s="117"/>
      <c r="G302" s="19">
        <f t="shared" si="176"/>
        <v>-1460</v>
      </c>
      <c r="H302" s="106"/>
      <c r="I302" s="107"/>
      <c r="J302" s="26">
        <f t="shared" si="177"/>
        <v>-1460</v>
      </c>
      <c r="K302" s="117"/>
      <c r="L302" s="117"/>
      <c r="M302" s="38">
        <f t="shared" si="178"/>
        <v>-1460</v>
      </c>
      <c r="N302" s="106"/>
      <c r="O302" s="107"/>
      <c r="P302" s="26">
        <f t="shared" si="179"/>
        <v>-1460</v>
      </c>
      <c r="Q302" s="117"/>
      <c r="R302" s="117"/>
      <c r="S302" s="19">
        <f t="shared" si="180"/>
        <v>-1460</v>
      </c>
      <c r="T302" s="116"/>
      <c r="U302" s="116"/>
      <c r="V302" s="20">
        <f t="shared" si="181"/>
        <v>-1460</v>
      </c>
      <c r="W302" s="143"/>
    </row>
    <row r="303" spans="1:23" ht="15.75" customHeight="1">
      <c r="A303" s="114"/>
      <c r="B303" s="106"/>
      <c r="C303" s="107"/>
      <c r="D303" s="26">
        <f t="shared" si="175"/>
        <v>-1460</v>
      </c>
      <c r="E303" s="117"/>
      <c r="F303" s="117"/>
      <c r="G303" s="19">
        <f t="shared" si="176"/>
        <v>-1460</v>
      </c>
      <c r="H303" s="106"/>
      <c r="I303" s="107"/>
      <c r="J303" s="26">
        <f t="shared" si="177"/>
        <v>-1460</v>
      </c>
      <c r="K303" s="117"/>
      <c r="L303" s="117"/>
      <c r="M303" s="38">
        <f t="shared" si="178"/>
        <v>-1460</v>
      </c>
      <c r="N303" s="106"/>
      <c r="O303" s="107"/>
      <c r="P303" s="26">
        <f t="shared" si="179"/>
        <v>-1460</v>
      </c>
      <c r="Q303" s="117"/>
      <c r="R303" s="117"/>
      <c r="S303" s="19">
        <f t="shared" si="180"/>
        <v>-1460</v>
      </c>
      <c r="T303" s="116"/>
      <c r="U303" s="116"/>
      <c r="V303" s="20">
        <f t="shared" si="181"/>
        <v>-1460</v>
      </c>
      <c r="W303" s="143"/>
    </row>
    <row r="304" spans="1:23" ht="15.75" customHeight="1">
      <c r="A304" s="114"/>
      <c r="B304" s="122"/>
      <c r="C304" s="123"/>
      <c r="D304" s="26">
        <f t="shared" si="175"/>
        <v>-1460</v>
      </c>
      <c r="E304" s="117"/>
      <c r="F304" s="117"/>
      <c r="G304" s="19">
        <f t="shared" si="176"/>
        <v>-1460</v>
      </c>
      <c r="H304" s="122"/>
      <c r="I304" s="123"/>
      <c r="J304" s="26">
        <f t="shared" si="177"/>
        <v>-1460</v>
      </c>
      <c r="K304" s="117"/>
      <c r="L304" s="117"/>
      <c r="M304" s="38">
        <f t="shared" si="178"/>
        <v>-1460</v>
      </c>
      <c r="N304" s="122"/>
      <c r="O304" s="123"/>
      <c r="P304" s="26">
        <f t="shared" si="179"/>
        <v>-1460</v>
      </c>
      <c r="Q304" s="117"/>
      <c r="R304" s="117"/>
      <c r="S304" s="19">
        <f t="shared" si="180"/>
        <v>-1460</v>
      </c>
      <c r="T304" s="116"/>
      <c r="U304" s="116"/>
      <c r="V304" s="20">
        <f t="shared" si="181"/>
        <v>-1460</v>
      </c>
      <c r="W304" s="143"/>
    </row>
    <row r="305" spans="1:23" ht="15.75" customHeight="1">
      <c r="A305" s="114"/>
      <c r="B305" s="122"/>
      <c r="C305" s="123"/>
      <c r="D305" s="26">
        <f t="shared" si="175"/>
        <v>-1460</v>
      </c>
      <c r="E305" s="117"/>
      <c r="F305" s="117"/>
      <c r="G305" s="19">
        <f t="shared" si="176"/>
        <v>-1460</v>
      </c>
      <c r="H305" s="122"/>
      <c r="I305" s="123"/>
      <c r="J305" s="26">
        <f t="shared" si="177"/>
        <v>-1460</v>
      </c>
      <c r="K305" s="117"/>
      <c r="L305" s="117"/>
      <c r="M305" s="38">
        <f t="shared" si="178"/>
        <v>-1460</v>
      </c>
      <c r="N305" s="122"/>
      <c r="O305" s="123"/>
      <c r="P305" s="26">
        <f t="shared" si="179"/>
        <v>-1460</v>
      </c>
      <c r="Q305" s="117"/>
      <c r="R305" s="117"/>
      <c r="S305" s="19">
        <f t="shared" si="180"/>
        <v>-1460</v>
      </c>
      <c r="T305" s="124"/>
      <c r="U305" s="124"/>
      <c r="V305" s="20">
        <f t="shared" si="181"/>
        <v>-1460</v>
      </c>
      <c r="W305" s="143"/>
    </row>
    <row r="306" spans="1:23" ht="15.75" customHeight="1">
      <c r="A306" s="114"/>
      <c r="B306" s="122"/>
      <c r="C306" s="123"/>
      <c r="D306" s="39">
        <f t="shared" si="175"/>
        <v>-1460</v>
      </c>
      <c r="E306" s="128"/>
      <c r="F306" s="128"/>
      <c r="G306" s="29">
        <f t="shared" si="176"/>
        <v>-1460</v>
      </c>
      <c r="H306" s="122"/>
      <c r="I306" s="123"/>
      <c r="J306" s="39">
        <f t="shared" si="177"/>
        <v>-1460</v>
      </c>
      <c r="K306" s="128"/>
      <c r="L306" s="128"/>
      <c r="M306" s="40">
        <f t="shared" si="178"/>
        <v>-1460</v>
      </c>
      <c r="N306" s="122"/>
      <c r="O306" s="123"/>
      <c r="P306" s="39">
        <f t="shared" si="179"/>
        <v>-1460</v>
      </c>
      <c r="Q306" s="128"/>
      <c r="R306" s="128"/>
      <c r="S306" s="29">
        <f t="shared" si="180"/>
        <v>-1460</v>
      </c>
      <c r="T306" s="124"/>
      <c r="U306" s="123"/>
      <c r="V306" s="49">
        <f t="shared" si="181"/>
        <v>-1460</v>
      </c>
      <c r="W306" s="143"/>
    </row>
    <row r="307" spans="1:23" ht="15.75" customHeight="1">
      <c r="A307" s="87"/>
      <c r="B307" s="77" t="str">
        <f ca="1">IFERROR(__xludf.DUMMYFUNCTION("DATE(VALUE(LEFT($B$2,4)),VALUE(MID($B$2,6,2)),VALUE(RIGHT($B$2,2)))
+ (VALUE(REGEXEXTRACT(INDIRECT(""A""&amp;ROW()+1),""\d+""))-1)*7
+ INT((COLUMN()-COLUMN($B307))/3)
"),"#VALUE!")</f>
        <v>#VALUE!</v>
      </c>
      <c r="C307" s="81"/>
      <c r="D307" s="82"/>
      <c r="E307" s="77" t="str">
        <f ca="1">IFERROR(__xludf.DUMMYFUNCTION("DATE(VALUE(LEFT($B$2,4)),VALUE(MID($B$2,6,2)),VALUE(RIGHT($B$2,2)))
+ (VALUE(REGEXEXTRACT(INDIRECT(""A""&amp;ROW()+1),""\d+""))-1)*7
+ INT((COLUMN()-COLUMN($B307))/3)
"),"#VALUE!")</f>
        <v>#VALUE!</v>
      </c>
      <c r="F307" s="81"/>
      <c r="G307" s="82"/>
      <c r="H307" s="77" t="str">
        <f ca="1">IFERROR(__xludf.DUMMYFUNCTION("DATE(VALUE(LEFT($B$2,4)),VALUE(MID($B$2,6,2)),VALUE(RIGHT($B$2,2)))
+ (VALUE(REGEXEXTRACT(INDIRECT(""A""&amp;ROW()+1),""\d+""))-1)*7
+ INT((COLUMN()-COLUMN($B307))/3)
"),"#VALUE!")</f>
        <v>#VALUE!</v>
      </c>
      <c r="I307" s="81"/>
      <c r="J307" s="82"/>
      <c r="K307" s="77" t="str">
        <f ca="1">IFERROR(__xludf.DUMMYFUNCTION("DATE(VALUE(LEFT($B$2,4)),VALUE(MID($B$2,6,2)),VALUE(RIGHT($B$2,2)))
+ (VALUE(REGEXEXTRACT(INDIRECT(""A""&amp;ROW()+1),""\d+""))-1)*7
+ INT((COLUMN()-COLUMN($B307))/3)
"),"#VALUE!")</f>
        <v>#VALUE!</v>
      </c>
      <c r="L307" s="81"/>
      <c r="M307" s="82"/>
      <c r="N307" s="77" t="str">
        <f ca="1">IFERROR(__xludf.DUMMYFUNCTION("DATE(VALUE(LEFT($B$2,4)),VALUE(MID($B$2,6,2)),VALUE(RIGHT($B$2,2)))
+ (VALUE(REGEXEXTRACT(INDIRECT(""A""&amp;ROW()+1),""\d+""))-1)*7
+ INT((COLUMN()-COLUMN($B307))/3)
"),"#VALUE!")</f>
        <v>#VALUE!</v>
      </c>
      <c r="O307" s="81"/>
      <c r="P307" s="82"/>
      <c r="Q307" s="77" t="str">
        <f ca="1">IFERROR(__xludf.DUMMYFUNCTION("DATE(VALUE(LEFT($B$2,4)),VALUE(MID($B$2,6,2)),VALUE(RIGHT($B$2,2)))
+ (VALUE(REGEXEXTRACT(INDIRECT(""A""&amp;ROW()+1),""\d+""))-1)*7
+ INT((COLUMN()-COLUMN($B307))/3)
"),"#VALUE!")</f>
        <v>#VALUE!</v>
      </c>
      <c r="R307" s="81"/>
      <c r="S307" s="82"/>
      <c r="T307" s="77" t="str">
        <f ca="1">IFERROR(__xludf.DUMMYFUNCTION("DATE(VALUE(LEFT($B$2,4)),VALUE(MID($B$2,6,2)),VALUE(RIGHT($B$2,2)))
+ (VALUE(REGEXEXTRACT(INDIRECT(""A""&amp;ROW()+1),""\d+""))-1)*7
+ INT((COLUMN()-COLUMN($B307))/3)
"),"#VALUE!")</f>
        <v>#VALUE!</v>
      </c>
      <c r="U307" s="81"/>
      <c r="V307" s="82"/>
      <c r="W307" s="52" t="s">
        <v>20</v>
      </c>
    </row>
    <row r="308" spans="1:23" ht="15.75" customHeight="1">
      <c r="A308" s="47" t="s">
        <v>155</v>
      </c>
      <c r="B308" s="113"/>
      <c r="C308" s="109"/>
      <c r="D308" s="50">
        <f>V306+C308</f>
        <v>-1460</v>
      </c>
      <c r="E308" s="179"/>
      <c r="F308" s="180"/>
      <c r="G308" s="36">
        <f>D318+F308</f>
        <v>-1460</v>
      </c>
      <c r="H308" s="132"/>
      <c r="I308" s="109"/>
      <c r="J308" s="42">
        <f>G318+I308</f>
        <v>-1460</v>
      </c>
      <c r="K308" s="110"/>
      <c r="L308" s="111"/>
      <c r="M308" s="18">
        <f>J318+L308</f>
        <v>-1460</v>
      </c>
      <c r="N308" s="113"/>
      <c r="O308" s="109"/>
      <c r="P308" s="35">
        <f>M318+O308</f>
        <v>-1460</v>
      </c>
      <c r="Q308" s="112"/>
      <c r="R308" s="111"/>
      <c r="S308" s="17">
        <f>P318+R308</f>
        <v>-1460</v>
      </c>
      <c r="T308" s="176"/>
      <c r="U308" s="173"/>
      <c r="V308" s="50">
        <f>S318+U308</f>
        <v>-1460</v>
      </c>
      <c r="W308" s="172"/>
    </row>
    <row r="309" spans="1:23" ht="15.75" customHeight="1">
      <c r="A309" s="114"/>
      <c r="B309" s="118"/>
      <c r="C309" s="117"/>
      <c r="D309" s="45">
        <f t="shared" ref="D309:D318" si="182">D308+C309</f>
        <v>-1460</v>
      </c>
      <c r="E309" s="106"/>
      <c r="F309" s="107"/>
      <c r="G309" s="26">
        <f t="shared" ref="G309:G318" si="183">G308+F309</f>
        <v>-1460</v>
      </c>
      <c r="H309" s="133"/>
      <c r="I309" s="117"/>
      <c r="J309" s="19">
        <f t="shared" ref="J309:J318" si="184">J308+I309</f>
        <v>-1460</v>
      </c>
      <c r="K309" s="116"/>
      <c r="L309" s="107"/>
      <c r="M309" s="26">
        <f t="shared" ref="M309:M318" si="185">M308+L309</f>
        <v>-1460</v>
      </c>
      <c r="N309" s="118"/>
      <c r="O309" s="117"/>
      <c r="P309" s="38">
        <f t="shared" ref="P309:P318" si="186">P308+O309</f>
        <v>-1460</v>
      </c>
      <c r="Q309" s="106"/>
      <c r="R309" s="107"/>
      <c r="S309" s="26">
        <f t="shared" ref="S309:S318" si="187">S308+R309</f>
        <v>-1460</v>
      </c>
      <c r="T309" s="177"/>
      <c r="U309" s="136"/>
      <c r="V309" s="45">
        <f t="shared" ref="V309:V318" si="188">V308+U309</f>
        <v>-1460</v>
      </c>
      <c r="W309" s="143"/>
    </row>
    <row r="310" spans="1:23" ht="15.75" customHeight="1">
      <c r="A310" s="114"/>
      <c r="B310" s="118"/>
      <c r="C310" s="117"/>
      <c r="D310" s="45">
        <f t="shared" si="182"/>
        <v>-1460</v>
      </c>
      <c r="E310" s="106"/>
      <c r="F310" s="107"/>
      <c r="G310" s="26">
        <f t="shared" si="183"/>
        <v>-1460</v>
      </c>
      <c r="H310" s="133"/>
      <c r="I310" s="117"/>
      <c r="J310" s="19">
        <f t="shared" si="184"/>
        <v>-1460</v>
      </c>
      <c r="K310" s="116"/>
      <c r="L310" s="107"/>
      <c r="M310" s="26">
        <f t="shared" si="185"/>
        <v>-1460</v>
      </c>
      <c r="N310" s="117"/>
      <c r="O310" s="117"/>
      <c r="P310" s="38">
        <f t="shared" si="186"/>
        <v>-1460</v>
      </c>
      <c r="Q310" s="106"/>
      <c r="R310" s="107"/>
      <c r="S310" s="26">
        <f t="shared" si="187"/>
        <v>-1460</v>
      </c>
      <c r="T310" s="177"/>
      <c r="U310" s="136"/>
      <c r="V310" s="45">
        <f t="shared" si="188"/>
        <v>-1460</v>
      </c>
      <c r="W310" s="143"/>
    </row>
    <row r="311" spans="1:23" ht="15.75" customHeight="1">
      <c r="A311" s="114"/>
      <c r="B311" s="118"/>
      <c r="C311" s="117"/>
      <c r="D311" s="45">
        <f t="shared" si="182"/>
        <v>-1460</v>
      </c>
      <c r="E311" s="106"/>
      <c r="F311" s="107"/>
      <c r="G311" s="26">
        <f t="shared" si="183"/>
        <v>-1460</v>
      </c>
      <c r="H311" s="133"/>
      <c r="I311" s="117"/>
      <c r="J311" s="19">
        <f t="shared" si="184"/>
        <v>-1460</v>
      </c>
      <c r="K311" s="116"/>
      <c r="L311" s="107"/>
      <c r="M311" s="26">
        <f t="shared" si="185"/>
        <v>-1460</v>
      </c>
      <c r="N311" s="117"/>
      <c r="O311" s="117"/>
      <c r="P311" s="38">
        <f t="shared" si="186"/>
        <v>-1460</v>
      </c>
      <c r="Q311" s="106"/>
      <c r="R311" s="107"/>
      <c r="S311" s="26">
        <f t="shared" si="187"/>
        <v>-1460</v>
      </c>
      <c r="T311" s="177"/>
      <c r="U311" s="136"/>
      <c r="V311" s="45">
        <f t="shared" si="188"/>
        <v>-1460</v>
      </c>
      <c r="W311" s="143"/>
    </row>
    <row r="312" spans="1:23" ht="15.75" customHeight="1">
      <c r="A312" s="114"/>
      <c r="B312" s="118"/>
      <c r="C312" s="117"/>
      <c r="D312" s="45">
        <f t="shared" si="182"/>
        <v>-1460</v>
      </c>
      <c r="E312" s="106"/>
      <c r="F312" s="107"/>
      <c r="G312" s="26">
        <f t="shared" si="183"/>
        <v>-1460</v>
      </c>
      <c r="H312" s="133"/>
      <c r="I312" s="117"/>
      <c r="J312" s="19">
        <f t="shared" si="184"/>
        <v>-1460</v>
      </c>
      <c r="K312" s="116"/>
      <c r="L312" s="107"/>
      <c r="M312" s="26">
        <f t="shared" si="185"/>
        <v>-1460</v>
      </c>
      <c r="N312" s="117"/>
      <c r="O312" s="117"/>
      <c r="P312" s="38">
        <f t="shared" si="186"/>
        <v>-1460</v>
      </c>
      <c r="Q312" s="106"/>
      <c r="R312" s="107"/>
      <c r="S312" s="26">
        <f t="shared" si="187"/>
        <v>-1460</v>
      </c>
      <c r="T312" s="177"/>
      <c r="U312" s="136"/>
      <c r="V312" s="45">
        <f t="shared" si="188"/>
        <v>-1460</v>
      </c>
      <c r="W312" s="143"/>
    </row>
    <row r="313" spans="1:23" ht="15.75" customHeight="1">
      <c r="A313" s="114"/>
      <c r="B313" s="118"/>
      <c r="C313" s="117"/>
      <c r="D313" s="45">
        <f t="shared" si="182"/>
        <v>-1460</v>
      </c>
      <c r="E313" s="106"/>
      <c r="F313" s="107"/>
      <c r="G313" s="26">
        <f t="shared" si="183"/>
        <v>-1460</v>
      </c>
      <c r="H313" s="133"/>
      <c r="I313" s="117"/>
      <c r="J313" s="19">
        <f t="shared" si="184"/>
        <v>-1460</v>
      </c>
      <c r="K313" s="116"/>
      <c r="L313" s="107"/>
      <c r="M313" s="26">
        <f t="shared" si="185"/>
        <v>-1460</v>
      </c>
      <c r="N313" s="117"/>
      <c r="O313" s="117"/>
      <c r="P313" s="38">
        <f t="shared" si="186"/>
        <v>-1460</v>
      </c>
      <c r="Q313" s="106"/>
      <c r="R313" s="107"/>
      <c r="S313" s="26">
        <f t="shared" si="187"/>
        <v>-1460</v>
      </c>
      <c r="T313" s="177"/>
      <c r="U313" s="136"/>
      <c r="V313" s="45">
        <f t="shared" si="188"/>
        <v>-1460</v>
      </c>
      <c r="W313" s="143"/>
    </row>
    <row r="314" spans="1:23" ht="15.75" customHeight="1">
      <c r="A314" s="114"/>
      <c r="B314" s="117"/>
      <c r="C314" s="117"/>
      <c r="D314" s="45">
        <f t="shared" si="182"/>
        <v>-1460</v>
      </c>
      <c r="E314" s="106"/>
      <c r="F314" s="107"/>
      <c r="G314" s="26">
        <f t="shared" si="183"/>
        <v>-1460</v>
      </c>
      <c r="H314" s="133"/>
      <c r="I314" s="117"/>
      <c r="J314" s="19">
        <f t="shared" si="184"/>
        <v>-1460</v>
      </c>
      <c r="K314" s="106"/>
      <c r="L314" s="107"/>
      <c r="M314" s="26">
        <f t="shared" si="185"/>
        <v>-1460</v>
      </c>
      <c r="N314" s="117"/>
      <c r="O314" s="117"/>
      <c r="P314" s="38">
        <f t="shared" si="186"/>
        <v>-1460</v>
      </c>
      <c r="Q314" s="106"/>
      <c r="R314" s="107"/>
      <c r="S314" s="26">
        <f t="shared" si="187"/>
        <v>-1460</v>
      </c>
      <c r="T314" s="177"/>
      <c r="U314" s="136"/>
      <c r="V314" s="45">
        <f t="shared" si="188"/>
        <v>-1460</v>
      </c>
      <c r="W314" s="143"/>
    </row>
    <row r="315" spans="1:23" ht="15.75" customHeight="1">
      <c r="A315" s="114"/>
      <c r="B315" s="117"/>
      <c r="C315" s="117"/>
      <c r="D315" s="45">
        <f t="shared" si="182"/>
        <v>-1460</v>
      </c>
      <c r="E315" s="106"/>
      <c r="F315" s="107"/>
      <c r="G315" s="26">
        <f t="shared" si="183"/>
        <v>-1460</v>
      </c>
      <c r="H315" s="133"/>
      <c r="I315" s="117"/>
      <c r="J315" s="19">
        <f t="shared" si="184"/>
        <v>-1460</v>
      </c>
      <c r="K315" s="106"/>
      <c r="L315" s="107"/>
      <c r="M315" s="26">
        <f t="shared" si="185"/>
        <v>-1460</v>
      </c>
      <c r="N315" s="117"/>
      <c r="O315" s="117"/>
      <c r="P315" s="38">
        <f t="shared" si="186"/>
        <v>-1460</v>
      </c>
      <c r="Q315" s="106"/>
      <c r="R315" s="107"/>
      <c r="S315" s="26">
        <f t="shared" si="187"/>
        <v>-1460</v>
      </c>
      <c r="T315" s="177"/>
      <c r="U315" s="136"/>
      <c r="V315" s="45">
        <f t="shared" si="188"/>
        <v>-1460</v>
      </c>
      <c r="W315" s="143"/>
    </row>
    <row r="316" spans="1:23" ht="15.75" customHeight="1">
      <c r="A316" s="114"/>
      <c r="B316" s="117"/>
      <c r="C316" s="117"/>
      <c r="D316" s="45">
        <f t="shared" si="182"/>
        <v>-1460</v>
      </c>
      <c r="E316" s="106"/>
      <c r="F316" s="107"/>
      <c r="G316" s="26">
        <f t="shared" si="183"/>
        <v>-1460</v>
      </c>
      <c r="H316" s="133"/>
      <c r="I316" s="117"/>
      <c r="J316" s="19">
        <f t="shared" si="184"/>
        <v>-1460</v>
      </c>
      <c r="K316" s="106"/>
      <c r="L316" s="107"/>
      <c r="M316" s="26">
        <f t="shared" si="185"/>
        <v>-1460</v>
      </c>
      <c r="N316" s="117"/>
      <c r="O316" s="117"/>
      <c r="P316" s="38">
        <f t="shared" si="186"/>
        <v>-1460</v>
      </c>
      <c r="Q316" s="106"/>
      <c r="R316" s="107"/>
      <c r="S316" s="26">
        <f t="shared" si="187"/>
        <v>-1460</v>
      </c>
      <c r="T316" s="177"/>
      <c r="U316" s="136"/>
      <c r="V316" s="45">
        <f t="shared" si="188"/>
        <v>-1460</v>
      </c>
      <c r="W316" s="143"/>
    </row>
    <row r="317" spans="1:23" ht="15.75" customHeight="1">
      <c r="A317" s="114"/>
      <c r="B317" s="117"/>
      <c r="C317" s="117"/>
      <c r="D317" s="45">
        <f t="shared" si="182"/>
        <v>-1460</v>
      </c>
      <c r="E317" s="122"/>
      <c r="F317" s="123"/>
      <c r="G317" s="26">
        <f t="shared" si="183"/>
        <v>-1460</v>
      </c>
      <c r="H317" s="133"/>
      <c r="I317" s="117"/>
      <c r="J317" s="19">
        <f t="shared" si="184"/>
        <v>-1460</v>
      </c>
      <c r="K317" s="122"/>
      <c r="L317" s="123"/>
      <c r="M317" s="26">
        <f t="shared" si="185"/>
        <v>-1460</v>
      </c>
      <c r="N317" s="117"/>
      <c r="O317" s="117"/>
      <c r="P317" s="38">
        <f t="shared" si="186"/>
        <v>-1460</v>
      </c>
      <c r="Q317" s="122"/>
      <c r="R317" s="123"/>
      <c r="S317" s="26">
        <f t="shared" si="187"/>
        <v>-1460</v>
      </c>
      <c r="T317" s="177"/>
      <c r="U317" s="136"/>
      <c r="V317" s="45">
        <f t="shared" si="188"/>
        <v>-1460</v>
      </c>
      <c r="W317" s="143"/>
    </row>
    <row r="318" spans="1:23" ht="15.75" customHeight="1">
      <c r="A318" s="114"/>
      <c r="B318" s="128"/>
      <c r="C318" s="128"/>
      <c r="D318" s="46">
        <f t="shared" si="182"/>
        <v>-1460</v>
      </c>
      <c r="E318" s="122"/>
      <c r="F318" s="123"/>
      <c r="G318" s="39">
        <f t="shared" si="183"/>
        <v>-1460</v>
      </c>
      <c r="H318" s="140"/>
      <c r="I318" s="128"/>
      <c r="J318" s="29">
        <f t="shared" si="184"/>
        <v>-1460</v>
      </c>
      <c r="K318" s="122"/>
      <c r="L318" s="123"/>
      <c r="M318" s="39">
        <f t="shared" si="185"/>
        <v>-1460</v>
      </c>
      <c r="N318" s="128"/>
      <c r="O318" s="128"/>
      <c r="P318" s="40">
        <f t="shared" si="186"/>
        <v>-1460</v>
      </c>
      <c r="Q318" s="122"/>
      <c r="R318" s="123"/>
      <c r="S318" s="39">
        <f t="shared" si="187"/>
        <v>-1460</v>
      </c>
      <c r="T318" s="178"/>
      <c r="U318" s="141"/>
      <c r="V318" s="46">
        <f t="shared" si="188"/>
        <v>-1460</v>
      </c>
      <c r="W318" s="143"/>
    </row>
    <row r="319" spans="1:23" ht="15.75" customHeight="1">
      <c r="A319" s="87"/>
      <c r="B319" s="77" t="str">
        <f ca="1">IFERROR(__xludf.DUMMYFUNCTION("DATE(VALUE(LEFT($B$2,4)),VALUE(MID($B$2,6,2)),VALUE(RIGHT($B$2,2)))
+ (VALUE(REGEXEXTRACT(INDIRECT(""A""&amp;ROW()+1),""\d+""))-1)*7
+ INT((COLUMN()-COLUMN($B319))/3)
"),"#VALUE!")</f>
        <v>#VALUE!</v>
      </c>
      <c r="C319" s="81"/>
      <c r="D319" s="82"/>
      <c r="E319" s="77" t="str">
        <f ca="1">IFERROR(__xludf.DUMMYFUNCTION("DATE(VALUE(LEFT($B$2,4)),VALUE(MID($B$2,6,2)),VALUE(RIGHT($B$2,2)))
+ (VALUE(REGEXEXTRACT(INDIRECT(""A""&amp;ROW()+1),""\d+""))-1)*7
+ INT((COLUMN()-COLUMN($B319))/3)
"),"#VALUE!")</f>
        <v>#VALUE!</v>
      </c>
      <c r="F319" s="81"/>
      <c r="G319" s="82"/>
      <c r="H319" s="77" t="str">
        <f ca="1">IFERROR(__xludf.DUMMYFUNCTION("DATE(VALUE(LEFT($B$2,4)),VALUE(MID($B$2,6,2)),VALUE(RIGHT($B$2,2)))
+ (VALUE(REGEXEXTRACT(INDIRECT(""A""&amp;ROW()+1),""\d+""))-1)*7
+ INT((COLUMN()-COLUMN($B319))/3)
"),"#VALUE!")</f>
        <v>#VALUE!</v>
      </c>
      <c r="I319" s="81"/>
      <c r="J319" s="82"/>
      <c r="K319" s="77" t="str">
        <f ca="1">IFERROR(__xludf.DUMMYFUNCTION("DATE(VALUE(LEFT($B$2,4)),VALUE(MID($B$2,6,2)),VALUE(RIGHT($B$2,2)))
+ (VALUE(REGEXEXTRACT(INDIRECT(""A""&amp;ROW()+1),""\d+""))-1)*7
+ INT((COLUMN()-COLUMN($B319))/3)
"),"#VALUE!")</f>
        <v>#VALUE!</v>
      </c>
      <c r="L319" s="81"/>
      <c r="M319" s="82"/>
      <c r="N319" s="77" t="str">
        <f ca="1">IFERROR(__xludf.DUMMYFUNCTION("DATE(VALUE(LEFT($B$2,4)),VALUE(MID($B$2,6,2)),VALUE(RIGHT($B$2,2)))
+ (VALUE(REGEXEXTRACT(INDIRECT(""A""&amp;ROW()+1),""\d+""))-1)*7
+ INT((COLUMN()-COLUMN($B319))/3)
"),"#VALUE!")</f>
        <v>#VALUE!</v>
      </c>
      <c r="O319" s="81"/>
      <c r="P319" s="82"/>
      <c r="Q319" s="77" t="str">
        <f ca="1">IFERROR(__xludf.DUMMYFUNCTION("DATE(VALUE(LEFT($B$2,4)),VALUE(MID($B$2,6,2)),VALUE(RIGHT($B$2,2)))
+ (VALUE(REGEXEXTRACT(INDIRECT(""A""&amp;ROW()+1),""\d+""))-1)*7
+ INT((COLUMN()-COLUMN($B319))/3)
"),"#VALUE!")</f>
        <v>#VALUE!</v>
      </c>
      <c r="R319" s="81"/>
      <c r="S319" s="82"/>
      <c r="T319" s="77" t="str">
        <f ca="1">IFERROR(__xludf.DUMMYFUNCTION("DATE(VALUE(LEFT($B$2,4)),VALUE(MID($B$2,6,2)),VALUE(RIGHT($B$2,2)))
+ (VALUE(REGEXEXTRACT(INDIRECT(""A""&amp;ROW()+1),""\d+""))-1)*7
+ INT((COLUMN()-COLUMN($B319))/3)
"),"#VALUE!")</f>
        <v>#VALUE!</v>
      </c>
      <c r="U319" s="81"/>
      <c r="V319" s="82"/>
      <c r="W319" s="143"/>
    </row>
    <row r="320" spans="1:23" ht="15.75" customHeight="1">
      <c r="A320" s="51" t="s">
        <v>156</v>
      </c>
      <c r="B320" s="112"/>
      <c r="C320" s="111"/>
      <c r="D320" s="48">
        <f>V318+C320</f>
        <v>-1460</v>
      </c>
      <c r="E320" s="113"/>
      <c r="F320" s="109"/>
      <c r="G320" s="42">
        <f>D330+F320</f>
        <v>-1460</v>
      </c>
      <c r="H320" s="110"/>
      <c r="I320" s="111"/>
      <c r="J320" s="17">
        <f>G330+I320</f>
        <v>-1460</v>
      </c>
      <c r="K320" s="109"/>
      <c r="L320" s="109"/>
      <c r="M320" s="35">
        <f>J330+L320</f>
        <v>-1460</v>
      </c>
      <c r="N320" s="112"/>
      <c r="O320" s="111"/>
      <c r="P320" s="17">
        <f>M330+O320</f>
        <v>-1460</v>
      </c>
      <c r="Q320" s="109"/>
      <c r="R320" s="109"/>
      <c r="S320" s="42">
        <f>P330+R320</f>
        <v>-1460</v>
      </c>
      <c r="T320" s="110"/>
      <c r="U320" s="111"/>
      <c r="V320" s="48">
        <f>S330+U320</f>
        <v>-1460</v>
      </c>
      <c r="W320" s="143"/>
    </row>
    <row r="321" spans="1:23" ht="15.75" customHeight="1">
      <c r="A321" s="114"/>
      <c r="B321" s="106"/>
      <c r="C321" s="107"/>
      <c r="D321" s="20">
        <f t="shared" ref="D321:D330" si="189">D320+C321</f>
        <v>-1460</v>
      </c>
      <c r="E321" s="118"/>
      <c r="F321" s="117"/>
      <c r="G321" s="19">
        <f t="shared" ref="G321:G330" si="190">G320+F321</f>
        <v>-1460</v>
      </c>
      <c r="H321" s="116"/>
      <c r="I321" s="107"/>
      <c r="J321" s="26">
        <f t="shared" ref="J321:J330" si="191">J320+I321</f>
        <v>-1460</v>
      </c>
      <c r="K321" s="117"/>
      <c r="L321" s="117"/>
      <c r="M321" s="38">
        <f t="shared" ref="M321:M330" si="192">M320+L321</f>
        <v>-1460</v>
      </c>
      <c r="N321" s="106"/>
      <c r="O321" s="107"/>
      <c r="P321" s="26">
        <f t="shared" ref="P321:P330" si="193">P320+O321</f>
        <v>-1460</v>
      </c>
      <c r="Q321" s="117"/>
      <c r="R321" s="117"/>
      <c r="S321" s="19">
        <f t="shared" ref="S321:S330" si="194">S320+R321</f>
        <v>-1460</v>
      </c>
      <c r="T321" s="116"/>
      <c r="U321" s="107"/>
      <c r="V321" s="20">
        <f t="shared" ref="V321:V330" si="195">V320+U321</f>
        <v>-1460</v>
      </c>
      <c r="W321" s="143"/>
    </row>
    <row r="322" spans="1:23" ht="15.75" customHeight="1">
      <c r="A322" s="114"/>
      <c r="B322" s="106"/>
      <c r="C322" s="107"/>
      <c r="D322" s="20">
        <f t="shared" si="189"/>
        <v>-1460</v>
      </c>
      <c r="E322" s="118"/>
      <c r="F322" s="117"/>
      <c r="G322" s="19">
        <f t="shared" si="190"/>
        <v>-1460</v>
      </c>
      <c r="H322" s="116"/>
      <c r="I322" s="107"/>
      <c r="J322" s="26">
        <f t="shared" si="191"/>
        <v>-1460</v>
      </c>
      <c r="K322" s="117"/>
      <c r="L322" s="117"/>
      <c r="M322" s="38">
        <f t="shared" si="192"/>
        <v>-1460</v>
      </c>
      <c r="N322" s="106"/>
      <c r="O322" s="107"/>
      <c r="P322" s="26">
        <f t="shared" si="193"/>
        <v>-1460</v>
      </c>
      <c r="Q322" s="117"/>
      <c r="R322" s="117"/>
      <c r="S322" s="19">
        <f t="shared" si="194"/>
        <v>-1460</v>
      </c>
      <c r="T322" s="116"/>
      <c r="U322" s="107"/>
      <c r="V322" s="20">
        <f t="shared" si="195"/>
        <v>-1460</v>
      </c>
      <c r="W322" s="143"/>
    </row>
    <row r="323" spans="1:23" ht="15.75" customHeight="1">
      <c r="A323" s="114"/>
      <c r="B323" s="106"/>
      <c r="C323" s="107"/>
      <c r="D323" s="20">
        <f t="shared" si="189"/>
        <v>-1460</v>
      </c>
      <c r="E323" s="118"/>
      <c r="F323" s="117"/>
      <c r="G323" s="19">
        <f t="shared" si="190"/>
        <v>-1460</v>
      </c>
      <c r="H323" s="116"/>
      <c r="I323" s="107"/>
      <c r="J323" s="26">
        <f t="shared" si="191"/>
        <v>-1460</v>
      </c>
      <c r="K323" s="117"/>
      <c r="L323" s="117"/>
      <c r="M323" s="38">
        <f t="shared" si="192"/>
        <v>-1460</v>
      </c>
      <c r="N323" s="106"/>
      <c r="O323" s="107"/>
      <c r="P323" s="26">
        <f t="shared" si="193"/>
        <v>-1460</v>
      </c>
      <c r="Q323" s="117"/>
      <c r="R323" s="117"/>
      <c r="S323" s="19">
        <f t="shared" si="194"/>
        <v>-1460</v>
      </c>
      <c r="T323" s="116"/>
      <c r="U323" s="107"/>
      <c r="V323" s="20">
        <f t="shared" si="195"/>
        <v>-1460</v>
      </c>
      <c r="W323" s="143"/>
    </row>
    <row r="324" spans="1:23" ht="15.75" customHeight="1">
      <c r="A324" s="114"/>
      <c r="B324" s="106"/>
      <c r="C324" s="107"/>
      <c r="D324" s="20">
        <f t="shared" si="189"/>
        <v>-1460</v>
      </c>
      <c r="E324" s="118"/>
      <c r="F324" s="117"/>
      <c r="G324" s="19">
        <f t="shared" si="190"/>
        <v>-1460</v>
      </c>
      <c r="H324" s="116"/>
      <c r="I324" s="107"/>
      <c r="J324" s="26">
        <f t="shared" si="191"/>
        <v>-1460</v>
      </c>
      <c r="K324" s="117"/>
      <c r="L324" s="117"/>
      <c r="M324" s="38">
        <f t="shared" si="192"/>
        <v>-1460</v>
      </c>
      <c r="N324" s="106"/>
      <c r="O324" s="107"/>
      <c r="P324" s="26">
        <f t="shared" si="193"/>
        <v>-1460</v>
      </c>
      <c r="Q324" s="117"/>
      <c r="R324" s="117"/>
      <c r="S324" s="19">
        <f t="shared" si="194"/>
        <v>-1460</v>
      </c>
      <c r="T324" s="116"/>
      <c r="U324" s="107"/>
      <c r="V324" s="20">
        <f t="shared" si="195"/>
        <v>-1460</v>
      </c>
      <c r="W324" s="143"/>
    </row>
    <row r="325" spans="1:23" ht="15.75" customHeight="1">
      <c r="A325" s="114"/>
      <c r="B325" s="106"/>
      <c r="C325" s="107"/>
      <c r="D325" s="20">
        <f t="shared" si="189"/>
        <v>-1460</v>
      </c>
      <c r="E325" s="118"/>
      <c r="F325" s="117"/>
      <c r="G325" s="19">
        <f t="shared" si="190"/>
        <v>-1460</v>
      </c>
      <c r="H325" s="116"/>
      <c r="I325" s="107"/>
      <c r="J325" s="26">
        <f t="shared" si="191"/>
        <v>-1460</v>
      </c>
      <c r="K325" s="117"/>
      <c r="L325" s="117"/>
      <c r="M325" s="38">
        <f t="shared" si="192"/>
        <v>-1460</v>
      </c>
      <c r="N325" s="106"/>
      <c r="O325" s="107"/>
      <c r="P325" s="26">
        <f t="shared" si="193"/>
        <v>-1460</v>
      </c>
      <c r="Q325" s="117"/>
      <c r="R325" s="117"/>
      <c r="S325" s="19">
        <f t="shared" si="194"/>
        <v>-1460</v>
      </c>
      <c r="T325" s="116"/>
      <c r="U325" s="107"/>
      <c r="V325" s="20">
        <f t="shared" si="195"/>
        <v>-1460</v>
      </c>
      <c r="W325" s="143"/>
    </row>
    <row r="326" spans="1:23" ht="15.75" customHeight="1">
      <c r="A326" s="114"/>
      <c r="B326" s="106"/>
      <c r="C326" s="107"/>
      <c r="D326" s="20">
        <f t="shared" si="189"/>
        <v>-1460</v>
      </c>
      <c r="E326" s="118"/>
      <c r="F326" s="117"/>
      <c r="G326" s="19">
        <f t="shared" si="190"/>
        <v>-1460</v>
      </c>
      <c r="H326" s="116"/>
      <c r="I326" s="107"/>
      <c r="J326" s="26">
        <f t="shared" si="191"/>
        <v>-1460</v>
      </c>
      <c r="K326" s="117"/>
      <c r="L326" s="117"/>
      <c r="M326" s="38">
        <f t="shared" si="192"/>
        <v>-1460</v>
      </c>
      <c r="N326" s="106"/>
      <c r="O326" s="107"/>
      <c r="P326" s="26">
        <f t="shared" si="193"/>
        <v>-1460</v>
      </c>
      <c r="Q326" s="117"/>
      <c r="R326" s="117"/>
      <c r="S326" s="19">
        <f t="shared" si="194"/>
        <v>-1460</v>
      </c>
      <c r="T326" s="116"/>
      <c r="U326" s="107"/>
      <c r="V326" s="20">
        <f t="shared" si="195"/>
        <v>-1460</v>
      </c>
      <c r="W326" s="143"/>
    </row>
    <row r="327" spans="1:23" ht="15.75" customHeight="1">
      <c r="A327" s="114"/>
      <c r="B327" s="106"/>
      <c r="C327" s="107"/>
      <c r="D327" s="20">
        <f t="shared" si="189"/>
        <v>-1460</v>
      </c>
      <c r="E327" s="118"/>
      <c r="F327" s="117"/>
      <c r="G327" s="19">
        <f t="shared" si="190"/>
        <v>-1460</v>
      </c>
      <c r="H327" s="116"/>
      <c r="I327" s="107"/>
      <c r="J327" s="26">
        <f t="shared" si="191"/>
        <v>-1460</v>
      </c>
      <c r="K327" s="117"/>
      <c r="L327" s="117"/>
      <c r="M327" s="38">
        <f t="shared" si="192"/>
        <v>-1460</v>
      </c>
      <c r="N327" s="106"/>
      <c r="O327" s="107"/>
      <c r="P327" s="26">
        <f t="shared" si="193"/>
        <v>-1460</v>
      </c>
      <c r="Q327" s="117"/>
      <c r="R327" s="117"/>
      <c r="S327" s="19">
        <f t="shared" si="194"/>
        <v>-1460</v>
      </c>
      <c r="T327" s="116"/>
      <c r="U327" s="107"/>
      <c r="V327" s="20">
        <f t="shared" si="195"/>
        <v>-1460</v>
      </c>
      <c r="W327" s="143"/>
    </row>
    <row r="328" spans="1:23" ht="15.75" customHeight="1">
      <c r="A328" s="114"/>
      <c r="B328" s="122"/>
      <c r="C328" s="123"/>
      <c r="D328" s="20">
        <f t="shared" si="189"/>
        <v>-1460</v>
      </c>
      <c r="E328" s="118"/>
      <c r="F328" s="117"/>
      <c r="G328" s="19">
        <f t="shared" si="190"/>
        <v>-1460</v>
      </c>
      <c r="H328" s="124"/>
      <c r="I328" s="123"/>
      <c r="J328" s="26">
        <f t="shared" si="191"/>
        <v>-1460</v>
      </c>
      <c r="K328" s="117"/>
      <c r="L328" s="117"/>
      <c r="M328" s="38">
        <f t="shared" si="192"/>
        <v>-1460</v>
      </c>
      <c r="N328" s="122"/>
      <c r="O328" s="123"/>
      <c r="P328" s="26">
        <f t="shared" si="193"/>
        <v>-1460</v>
      </c>
      <c r="Q328" s="117"/>
      <c r="R328" s="117"/>
      <c r="S328" s="19">
        <f t="shared" si="194"/>
        <v>-1460</v>
      </c>
      <c r="T328" s="116"/>
      <c r="U328" s="107"/>
      <c r="V328" s="20">
        <f t="shared" si="195"/>
        <v>-1460</v>
      </c>
      <c r="W328" s="143"/>
    </row>
    <row r="329" spans="1:23" ht="15.75" customHeight="1">
      <c r="A329" s="114"/>
      <c r="B329" s="122"/>
      <c r="C329" s="123"/>
      <c r="D329" s="20">
        <f t="shared" si="189"/>
        <v>-1460</v>
      </c>
      <c r="E329" s="118"/>
      <c r="F329" s="117"/>
      <c r="G329" s="19">
        <f t="shared" si="190"/>
        <v>-1460</v>
      </c>
      <c r="H329" s="124"/>
      <c r="I329" s="123"/>
      <c r="J329" s="26">
        <f t="shared" si="191"/>
        <v>-1460</v>
      </c>
      <c r="K329" s="117"/>
      <c r="L329" s="117"/>
      <c r="M329" s="38">
        <f t="shared" si="192"/>
        <v>-1460</v>
      </c>
      <c r="N329" s="122"/>
      <c r="O329" s="123"/>
      <c r="P329" s="26">
        <f t="shared" si="193"/>
        <v>-1460</v>
      </c>
      <c r="Q329" s="117"/>
      <c r="R329" s="117"/>
      <c r="S329" s="19">
        <f t="shared" si="194"/>
        <v>-1460</v>
      </c>
      <c r="T329" s="124"/>
      <c r="U329" s="124"/>
      <c r="V329" s="20">
        <f t="shared" si="195"/>
        <v>-1460</v>
      </c>
      <c r="W329" s="143"/>
    </row>
    <row r="330" spans="1:23" ht="15.75" customHeight="1">
      <c r="A330" s="114"/>
      <c r="B330" s="122"/>
      <c r="C330" s="123"/>
      <c r="D330" s="49">
        <f t="shared" si="189"/>
        <v>-1460</v>
      </c>
      <c r="E330" s="154"/>
      <c r="F330" s="128"/>
      <c r="G330" s="29">
        <f t="shared" si="190"/>
        <v>-1460</v>
      </c>
      <c r="H330" s="124"/>
      <c r="I330" s="123"/>
      <c r="J330" s="39">
        <f t="shared" si="191"/>
        <v>-1460</v>
      </c>
      <c r="K330" s="128"/>
      <c r="L330" s="128"/>
      <c r="M330" s="40">
        <f t="shared" si="192"/>
        <v>-1460</v>
      </c>
      <c r="N330" s="122"/>
      <c r="O330" s="123"/>
      <c r="P330" s="39">
        <f t="shared" si="193"/>
        <v>-1460</v>
      </c>
      <c r="Q330" s="128"/>
      <c r="R330" s="128"/>
      <c r="S330" s="29">
        <f t="shared" si="194"/>
        <v>-1460</v>
      </c>
      <c r="T330" s="124"/>
      <c r="U330" s="123"/>
      <c r="V330" s="49">
        <f t="shared" si="195"/>
        <v>-1460</v>
      </c>
      <c r="W330" s="143"/>
    </row>
    <row r="331" spans="1:23" ht="15.75" customHeight="1">
      <c r="A331" s="87"/>
      <c r="B331" s="77" t="str">
        <f ca="1">IFERROR(__xludf.DUMMYFUNCTION("DATE(VALUE(LEFT($B$2,4)),VALUE(MID($B$2,6,2)),VALUE(RIGHT($B$2,2)))
+ (VALUE(REGEXEXTRACT(INDIRECT(""A""&amp;ROW()+1),""\d+""))-1)*7
+ INT((COLUMN()-COLUMN($B331))/3)
"),"#VALUE!")</f>
        <v>#VALUE!</v>
      </c>
      <c r="C331" s="81"/>
      <c r="D331" s="82"/>
      <c r="E331" s="77" t="str">
        <f ca="1">IFERROR(__xludf.DUMMYFUNCTION("DATE(VALUE(LEFT($B$2,4)),VALUE(MID($B$2,6,2)),VALUE(RIGHT($B$2,2)))
+ (VALUE(REGEXEXTRACT(INDIRECT(""A""&amp;ROW()+1),""\d+""))-1)*7
+ INT((COLUMN()-COLUMN($B331))/3)
"),"#VALUE!")</f>
        <v>#VALUE!</v>
      </c>
      <c r="F331" s="81"/>
      <c r="G331" s="82"/>
      <c r="H331" s="77" t="str">
        <f ca="1">IFERROR(__xludf.DUMMYFUNCTION("DATE(VALUE(LEFT($B$2,4)),VALUE(MID($B$2,6,2)),VALUE(RIGHT($B$2,2)))
+ (VALUE(REGEXEXTRACT(INDIRECT(""A""&amp;ROW()+1),""\d+""))-1)*7
+ INT((COLUMN()-COLUMN($B331))/3)
"),"#VALUE!")</f>
        <v>#VALUE!</v>
      </c>
      <c r="I331" s="81"/>
      <c r="J331" s="82"/>
      <c r="K331" s="77" t="str">
        <f ca="1">IFERROR(__xludf.DUMMYFUNCTION("DATE(VALUE(LEFT($B$2,4)),VALUE(MID($B$2,6,2)),VALUE(RIGHT($B$2,2)))
+ (VALUE(REGEXEXTRACT(INDIRECT(""A""&amp;ROW()+1),""\d+""))-1)*7
+ INT((COLUMN()-COLUMN($B331))/3)
"),"#VALUE!")</f>
        <v>#VALUE!</v>
      </c>
      <c r="L331" s="81"/>
      <c r="M331" s="82"/>
      <c r="N331" s="77" t="str">
        <f ca="1">IFERROR(__xludf.DUMMYFUNCTION("DATE(VALUE(LEFT($B$2,4)),VALUE(MID($B$2,6,2)),VALUE(RIGHT($B$2,2)))
+ (VALUE(REGEXEXTRACT(INDIRECT(""A""&amp;ROW()+1),""\d+""))-1)*7
+ INT((COLUMN()-COLUMN($B331))/3)
"),"#VALUE!")</f>
        <v>#VALUE!</v>
      </c>
      <c r="O331" s="81"/>
      <c r="P331" s="82"/>
      <c r="Q331" s="77" t="str">
        <f ca="1">IFERROR(__xludf.DUMMYFUNCTION("DATE(VALUE(LEFT($B$2,4)),VALUE(MID($B$2,6,2)),VALUE(RIGHT($B$2,2)))
+ (VALUE(REGEXEXTRACT(INDIRECT(""A""&amp;ROW()+1),""\d+""))-1)*7
+ INT((COLUMN()-COLUMN($B331))/3)
"),"#VALUE!")</f>
        <v>#VALUE!</v>
      </c>
      <c r="R331" s="81"/>
      <c r="S331" s="82"/>
      <c r="T331" s="77" t="str">
        <f ca="1">IFERROR(__xludf.DUMMYFUNCTION("DATE(VALUE(LEFT($B$2,4)),VALUE(MID($B$2,6,2)),VALUE(RIGHT($B$2,2)))
+ (VALUE(REGEXEXTRACT(INDIRECT(""A""&amp;ROW()+1),""\d+""))-1)*7
+ INT((COLUMN()-COLUMN($B331))/3)
"),"#VALUE!")</f>
        <v>#VALUE!</v>
      </c>
      <c r="U331" s="81"/>
      <c r="V331" s="82"/>
      <c r="W331" s="52" t="s">
        <v>20</v>
      </c>
    </row>
    <row r="332" spans="1:23" ht="15.75" customHeight="1">
      <c r="A332" s="47" t="s">
        <v>157</v>
      </c>
      <c r="B332" s="113"/>
      <c r="C332" s="109"/>
      <c r="D332" s="50">
        <f>V330+C332</f>
        <v>-1460</v>
      </c>
      <c r="E332" s="112"/>
      <c r="F332" s="111"/>
      <c r="G332" s="17">
        <f>D342+F332</f>
        <v>-1460</v>
      </c>
      <c r="H332" s="132"/>
      <c r="I332" s="109"/>
      <c r="J332" s="42">
        <f>G342+I332</f>
        <v>-1460</v>
      </c>
      <c r="K332" s="112"/>
      <c r="L332" s="111"/>
      <c r="M332" s="18">
        <f>J342+L332</f>
        <v>-1460</v>
      </c>
      <c r="N332" s="109"/>
      <c r="O332" s="109"/>
      <c r="P332" s="35">
        <f>M342+O332</f>
        <v>-1460</v>
      </c>
      <c r="Q332" s="112"/>
      <c r="R332" s="111"/>
      <c r="S332" s="17">
        <f>P342+R332</f>
        <v>-1460</v>
      </c>
      <c r="T332" s="176"/>
      <c r="U332" s="173"/>
      <c r="V332" s="50">
        <f>S342+U332</f>
        <v>-1460</v>
      </c>
      <c r="W332" s="172"/>
    </row>
    <row r="333" spans="1:23" ht="15.75" customHeight="1">
      <c r="A333" s="114"/>
      <c r="B333" s="118"/>
      <c r="C333" s="117"/>
      <c r="D333" s="45">
        <f t="shared" ref="D333:D342" si="196">D332+C333</f>
        <v>-1460</v>
      </c>
      <c r="E333" s="106"/>
      <c r="F333" s="107"/>
      <c r="G333" s="26">
        <f t="shared" ref="G333:G342" si="197">G332+F333</f>
        <v>-1460</v>
      </c>
      <c r="H333" s="133"/>
      <c r="I333" s="117"/>
      <c r="J333" s="19">
        <f t="shared" ref="J333:J342" si="198">J332+I333</f>
        <v>-1460</v>
      </c>
      <c r="K333" s="106"/>
      <c r="L333" s="107"/>
      <c r="M333" s="26">
        <f t="shared" ref="M333:M342" si="199">M332+L333</f>
        <v>-1460</v>
      </c>
      <c r="N333" s="117"/>
      <c r="O333" s="117"/>
      <c r="P333" s="38">
        <f t="shared" ref="P333:P342" si="200">P332+O333</f>
        <v>-1460</v>
      </c>
      <c r="Q333" s="106"/>
      <c r="R333" s="107"/>
      <c r="S333" s="26">
        <f t="shared" ref="S333:S342" si="201">S332+R333</f>
        <v>-1460</v>
      </c>
      <c r="T333" s="177"/>
      <c r="U333" s="136"/>
      <c r="V333" s="45">
        <f t="shared" ref="V333:V342" si="202">V332+U333</f>
        <v>-1460</v>
      </c>
      <c r="W333" s="143"/>
    </row>
    <row r="334" spans="1:23" ht="15.75" customHeight="1">
      <c r="A334" s="114"/>
      <c r="B334" s="118"/>
      <c r="C334" s="117"/>
      <c r="D334" s="45">
        <f t="shared" si="196"/>
        <v>-1460</v>
      </c>
      <c r="E334" s="106"/>
      <c r="F334" s="107"/>
      <c r="G334" s="26">
        <f t="shared" si="197"/>
        <v>-1460</v>
      </c>
      <c r="H334" s="133"/>
      <c r="I334" s="117"/>
      <c r="J334" s="19">
        <f t="shared" si="198"/>
        <v>-1460</v>
      </c>
      <c r="K334" s="106"/>
      <c r="L334" s="107"/>
      <c r="M334" s="26">
        <f t="shared" si="199"/>
        <v>-1460</v>
      </c>
      <c r="N334" s="117"/>
      <c r="O334" s="117"/>
      <c r="P334" s="38">
        <f t="shared" si="200"/>
        <v>-1460</v>
      </c>
      <c r="Q334" s="106"/>
      <c r="R334" s="107"/>
      <c r="S334" s="26">
        <f t="shared" si="201"/>
        <v>-1460</v>
      </c>
      <c r="T334" s="177"/>
      <c r="U334" s="136"/>
      <c r="V334" s="45">
        <f t="shared" si="202"/>
        <v>-1460</v>
      </c>
      <c r="W334" s="143"/>
    </row>
    <row r="335" spans="1:23" ht="15.75" customHeight="1">
      <c r="A335" s="114"/>
      <c r="B335" s="118"/>
      <c r="C335" s="117"/>
      <c r="D335" s="45">
        <f t="shared" si="196"/>
        <v>-1460</v>
      </c>
      <c r="E335" s="106"/>
      <c r="F335" s="107"/>
      <c r="G335" s="26">
        <f t="shared" si="197"/>
        <v>-1460</v>
      </c>
      <c r="H335" s="133"/>
      <c r="I335" s="117"/>
      <c r="J335" s="19">
        <f t="shared" si="198"/>
        <v>-1460</v>
      </c>
      <c r="K335" s="106"/>
      <c r="L335" s="107"/>
      <c r="M335" s="26">
        <f t="shared" si="199"/>
        <v>-1460</v>
      </c>
      <c r="N335" s="117"/>
      <c r="O335" s="117"/>
      <c r="P335" s="38">
        <f t="shared" si="200"/>
        <v>-1460</v>
      </c>
      <c r="Q335" s="106"/>
      <c r="R335" s="107"/>
      <c r="S335" s="26">
        <f t="shared" si="201"/>
        <v>-1460</v>
      </c>
      <c r="T335" s="177"/>
      <c r="U335" s="136"/>
      <c r="V335" s="45">
        <f t="shared" si="202"/>
        <v>-1460</v>
      </c>
      <c r="W335" s="143"/>
    </row>
    <row r="336" spans="1:23" ht="15.75" customHeight="1">
      <c r="A336" s="114"/>
      <c r="B336" s="118"/>
      <c r="C336" s="117"/>
      <c r="D336" s="45">
        <f t="shared" si="196"/>
        <v>-1460</v>
      </c>
      <c r="E336" s="106"/>
      <c r="F336" s="107"/>
      <c r="G336" s="26">
        <f t="shared" si="197"/>
        <v>-1460</v>
      </c>
      <c r="H336" s="133"/>
      <c r="I336" s="117"/>
      <c r="J336" s="19">
        <f t="shared" si="198"/>
        <v>-1460</v>
      </c>
      <c r="K336" s="106"/>
      <c r="L336" s="107"/>
      <c r="M336" s="26">
        <f t="shared" si="199"/>
        <v>-1460</v>
      </c>
      <c r="N336" s="117"/>
      <c r="O336" s="117"/>
      <c r="P336" s="38">
        <f t="shared" si="200"/>
        <v>-1460</v>
      </c>
      <c r="Q336" s="106"/>
      <c r="R336" s="107"/>
      <c r="S336" s="26">
        <f t="shared" si="201"/>
        <v>-1460</v>
      </c>
      <c r="T336" s="177"/>
      <c r="U336" s="136"/>
      <c r="V336" s="45">
        <f t="shared" si="202"/>
        <v>-1460</v>
      </c>
      <c r="W336" s="143"/>
    </row>
    <row r="337" spans="1:23" ht="15.75" customHeight="1">
      <c r="A337" s="114"/>
      <c r="B337" s="118"/>
      <c r="C337" s="117"/>
      <c r="D337" s="45">
        <f t="shared" si="196"/>
        <v>-1460</v>
      </c>
      <c r="E337" s="106"/>
      <c r="F337" s="107"/>
      <c r="G337" s="26">
        <f t="shared" si="197"/>
        <v>-1460</v>
      </c>
      <c r="H337" s="133"/>
      <c r="I337" s="117"/>
      <c r="J337" s="19">
        <f t="shared" si="198"/>
        <v>-1460</v>
      </c>
      <c r="K337" s="106"/>
      <c r="L337" s="107"/>
      <c r="M337" s="26">
        <f t="shared" si="199"/>
        <v>-1460</v>
      </c>
      <c r="N337" s="117"/>
      <c r="O337" s="117"/>
      <c r="P337" s="38">
        <f t="shared" si="200"/>
        <v>-1460</v>
      </c>
      <c r="Q337" s="106"/>
      <c r="R337" s="107"/>
      <c r="S337" s="26">
        <f t="shared" si="201"/>
        <v>-1460</v>
      </c>
      <c r="T337" s="177"/>
      <c r="U337" s="136"/>
      <c r="V337" s="45">
        <f t="shared" si="202"/>
        <v>-1460</v>
      </c>
      <c r="W337" s="143"/>
    </row>
    <row r="338" spans="1:23" ht="15.75" customHeight="1">
      <c r="A338" s="114"/>
      <c r="B338" s="117"/>
      <c r="C338" s="117"/>
      <c r="D338" s="45">
        <f t="shared" si="196"/>
        <v>-1460</v>
      </c>
      <c r="E338" s="106"/>
      <c r="F338" s="107"/>
      <c r="G338" s="26">
        <f t="shared" si="197"/>
        <v>-1460</v>
      </c>
      <c r="H338" s="133"/>
      <c r="I338" s="117"/>
      <c r="J338" s="19">
        <f t="shared" si="198"/>
        <v>-1460</v>
      </c>
      <c r="K338" s="106"/>
      <c r="L338" s="107"/>
      <c r="M338" s="26">
        <f t="shared" si="199"/>
        <v>-1460</v>
      </c>
      <c r="N338" s="117"/>
      <c r="O338" s="117"/>
      <c r="P338" s="38">
        <f t="shared" si="200"/>
        <v>-1460</v>
      </c>
      <c r="Q338" s="106"/>
      <c r="R338" s="107"/>
      <c r="S338" s="26">
        <f t="shared" si="201"/>
        <v>-1460</v>
      </c>
      <c r="T338" s="177"/>
      <c r="U338" s="136"/>
      <c r="V338" s="45">
        <f t="shared" si="202"/>
        <v>-1460</v>
      </c>
      <c r="W338" s="143"/>
    </row>
    <row r="339" spans="1:23" ht="15.75" customHeight="1">
      <c r="A339" s="114"/>
      <c r="B339" s="117"/>
      <c r="C339" s="117"/>
      <c r="D339" s="45">
        <f t="shared" si="196"/>
        <v>-1460</v>
      </c>
      <c r="E339" s="106"/>
      <c r="F339" s="107"/>
      <c r="G339" s="26">
        <f t="shared" si="197"/>
        <v>-1460</v>
      </c>
      <c r="H339" s="133"/>
      <c r="I339" s="117"/>
      <c r="J339" s="19">
        <f t="shared" si="198"/>
        <v>-1460</v>
      </c>
      <c r="K339" s="106"/>
      <c r="L339" s="107"/>
      <c r="M339" s="26">
        <f t="shared" si="199"/>
        <v>-1460</v>
      </c>
      <c r="N339" s="117"/>
      <c r="O339" s="117"/>
      <c r="P339" s="38">
        <f t="shared" si="200"/>
        <v>-1460</v>
      </c>
      <c r="Q339" s="106"/>
      <c r="R339" s="107"/>
      <c r="S339" s="26">
        <f t="shared" si="201"/>
        <v>-1460</v>
      </c>
      <c r="T339" s="177"/>
      <c r="U339" s="136"/>
      <c r="V339" s="45">
        <f t="shared" si="202"/>
        <v>-1460</v>
      </c>
      <c r="W339" s="143"/>
    </row>
    <row r="340" spans="1:23" ht="15.75" customHeight="1">
      <c r="A340" s="114"/>
      <c r="B340" s="117"/>
      <c r="C340" s="117"/>
      <c r="D340" s="45">
        <f t="shared" si="196"/>
        <v>-1460</v>
      </c>
      <c r="E340" s="106"/>
      <c r="F340" s="107"/>
      <c r="G340" s="26">
        <f t="shared" si="197"/>
        <v>-1460</v>
      </c>
      <c r="H340" s="133"/>
      <c r="I340" s="117"/>
      <c r="J340" s="19">
        <f t="shared" si="198"/>
        <v>-1460</v>
      </c>
      <c r="K340" s="106"/>
      <c r="L340" s="107"/>
      <c r="M340" s="26">
        <f t="shared" si="199"/>
        <v>-1460</v>
      </c>
      <c r="N340" s="117"/>
      <c r="O340" s="117"/>
      <c r="P340" s="38">
        <f t="shared" si="200"/>
        <v>-1460</v>
      </c>
      <c r="Q340" s="106"/>
      <c r="R340" s="107"/>
      <c r="S340" s="26">
        <f t="shared" si="201"/>
        <v>-1460</v>
      </c>
      <c r="T340" s="177"/>
      <c r="U340" s="136"/>
      <c r="V340" s="45">
        <f t="shared" si="202"/>
        <v>-1460</v>
      </c>
      <c r="W340" s="143"/>
    </row>
    <row r="341" spans="1:23" ht="15.75" customHeight="1">
      <c r="A341" s="114"/>
      <c r="B341" s="117"/>
      <c r="C341" s="117"/>
      <c r="D341" s="45">
        <f t="shared" si="196"/>
        <v>-1460</v>
      </c>
      <c r="E341" s="122"/>
      <c r="F341" s="123"/>
      <c r="G341" s="26">
        <f t="shared" si="197"/>
        <v>-1460</v>
      </c>
      <c r="H341" s="133"/>
      <c r="I341" s="117"/>
      <c r="J341" s="19">
        <f t="shared" si="198"/>
        <v>-1460</v>
      </c>
      <c r="K341" s="122"/>
      <c r="L341" s="123"/>
      <c r="M341" s="26">
        <f t="shared" si="199"/>
        <v>-1460</v>
      </c>
      <c r="N341" s="117"/>
      <c r="O341" s="117"/>
      <c r="P341" s="38">
        <f t="shared" si="200"/>
        <v>-1460</v>
      </c>
      <c r="Q341" s="122"/>
      <c r="R341" s="123"/>
      <c r="S341" s="26">
        <f t="shared" si="201"/>
        <v>-1460</v>
      </c>
      <c r="T341" s="177"/>
      <c r="U341" s="136"/>
      <c r="V341" s="45">
        <f t="shared" si="202"/>
        <v>-1460</v>
      </c>
      <c r="W341" s="143"/>
    </row>
    <row r="342" spans="1:23" ht="15.75" customHeight="1">
      <c r="A342" s="114"/>
      <c r="B342" s="128"/>
      <c r="C342" s="128"/>
      <c r="D342" s="46">
        <f t="shared" si="196"/>
        <v>-1460</v>
      </c>
      <c r="E342" s="122"/>
      <c r="F342" s="123"/>
      <c r="G342" s="39">
        <f t="shared" si="197"/>
        <v>-1460</v>
      </c>
      <c r="H342" s="140"/>
      <c r="I342" s="128"/>
      <c r="J342" s="29">
        <f t="shared" si="198"/>
        <v>-1460</v>
      </c>
      <c r="K342" s="122"/>
      <c r="L342" s="123"/>
      <c r="M342" s="39">
        <f t="shared" si="199"/>
        <v>-1460</v>
      </c>
      <c r="N342" s="128"/>
      <c r="O342" s="128"/>
      <c r="P342" s="40">
        <f t="shared" si="200"/>
        <v>-1460</v>
      </c>
      <c r="Q342" s="122"/>
      <c r="R342" s="123"/>
      <c r="S342" s="39">
        <f t="shared" si="201"/>
        <v>-1460</v>
      </c>
      <c r="T342" s="178"/>
      <c r="U342" s="141"/>
      <c r="V342" s="46">
        <f t="shared" si="202"/>
        <v>-1460</v>
      </c>
      <c r="W342" s="143"/>
    </row>
    <row r="343" spans="1:23" ht="15.75" customHeight="1">
      <c r="A343" s="87"/>
      <c r="B343" s="77" t="str">
        <f ca="1">IFERROR(__xludf.DUMMYFUNCTION("DATE(VALUE(LEFT($B$2,4)),VALUE(MID($B$2,6,2)),VALUE(RIGHT($B$2,2)))
+ (VALUE(REGEXEXTRACT(INDIRECT(""A""&amp;ROW()+1),""\d+""))-1)*7
+ INT((COLUMN()-COLUMN($B343))/3)
"),"#VALUE!")</f>
        <v>#VALUE!</v>
      </c>
      <c r="C343" s="81"/>
      <c r="D343" s="82"/>
      <c r="E343" s="77" t="str">
        <f ca="1">IFERROR(__xludf.DUMMYFUNCTION("DATE(VALUE(LEFT($B$2,4)),VALUE(MID($B$2,6,2)),VALUE(RIGHT($B$2,2)))
+ (VALUE(REGEXEXTRACT(INDIRECT(""A""&amp;ROW()+1),""\d+""))-1)*7
+ INT((COLUMN()-COLUMN($B343))/3)
"),"#VALUE!")</f>
        <v>#VALUE!</v>
      </c>
      <c r="F343" s="81"/>
      <c r="G343" s="82"/>
      <c r="H343" s="77" t="str">
        <f ca="1">IFERROR(__xludf.DUMMYFUNCTION("DATE(VALUE(LEFT($B$2,4)),VALUE(MID($B$2,6,2)),VALUE(RIGHT($B$2,2)))
+ (VALUE(REGEXEXTRACT(INDIRECT(""A""&amp;ROW()+1),""\d+""))-1)*7
+ INT((COLUMN()-COLUMN($B343))/3)
"),"#VALUE!")</f>
        <v>#VALUE!</v>
      </c>
      <c r="I343" s="81"/>
      <c r="J343" s="82"/>
      <c r="K343" s="77" t="str">
        <f ca="1">IFERROR(__xludf.DUMMYFUNCTION("DATE(VALUE(LEFT($B$2,4)),VALUE(MID($B$2,6,2)),VALUE(RIGHT($B$2,2)))
+ (VALUE(REGEXEXTRACT(INDIRECT(""A""&amp;ROW()+1),""\d+""))-1)*7
+ INT((COLUMN()-COLUMN($B343))/3)
"),"#VALUE!")</f>
        <v>#VALUE!</v>
      </c>
      <c r="L343" s="81"/>
      <c r="M343" s="82"/>
      <c r="N343" s="77" t="str">
        <f ca="1">IFERROR(__xludf.DUMMYFUNCTION("DATE(VALUE(LEFT($B$2,4)),VALUE(MID($B$2,6,2)),VALUE(RIGHT($B$2,2)))
+ (VALUE(REGEXEXTRACT(INDIRECT(""A""&amp;ROW()+1),""\d+""))-1)*7
+ INT((COLUMN()-COLUMN($B343))/3)
"),"#VALUE!")</f>
        <v>#VALUE!</v>
      </c>
      <c r="O343" s="81"/>
      <c r="P343" s="82"/>
      <c r="Q343" s="77" t="str">
        <f ca="1">IFERROR(__xludf.DUMMYFUNCTION("DATE(VALUE(LEFT($B$2,4)),VALUE(MID($B$2,6,2)),VALUE(RIGHT($B$2,2)))
+ (VALUE(REGEXEXTRACT(INDIRECT(""A""&amp;ROW()+1),""\d+""))-1)*7
+ INT((COLUMN()-COLUMN($B343))/3)
"),"#VALUE!")</f>
        <v>#VALUE!</v>
      </c>
      <c r="R343" s="81"/>
      <c r="S343" s="82"/>
      <c r="T343" s="77" t="str">
        <f ca="1">IFERROR(__xludf.DUMMYFUNCTION("DATE(VALUE(LEFT($B$2,4)),VALUE(MID($B$2,6,2)),VALUE(RIGHT($B$2,2)))
+ (VALUE(REGEXEXTRACT(INDIRECT(""A""&amp;ROW()+1),""\d+""))-1)*7
+ INT((COLUMN()-COLUMN($B343))/3)
"),"#VALUE!")</f>
        <v>#VALUE!</v>
      </c>
      <c r="U343" s="81"/>
      <c r="V343" s="82"/>
      <c r="W343" s="143"/>
    </row>
    <row r="344" spans="1:23" ht="15.75" customHeight="1">
      <c r="A344" s="51" t="s">
        <v>158</v>
      </c>
      <c r="B344" s="112"/>
      <c r="C344" s="111"/>
      <c r="D344" s="48">
        <f>V342+C344</f>
        <v>-1460</v>
      </c>
      <c r="E344" s="113"/>
      <c r="F344" s="109"/>
      <c r="G344" s="42">
        <f>D354+F344</f>
        <v>-1460</v>
      </c>
      <c r="H344" s="110"/>
      <c r="I344" s="111"/>
      <c r="J344" s="17">
        <f>G354+I344</f>
        <v>-1460</v>
      </c>
      <c r="K344" s="109"/>
      <c r="L344" s="109"/>
      <c r="M344" s="35">
        <f>J354+L344</f>
        <v>-1460</v>
      </c>
      <c r="N344" s="112"/>
      <c r="O344" s="111"/>
      <c r="P344" s="17">
        <f>M354+O344</f>
        <v>-1460</v>
      </c>
      <c r="Q344" s="109"/>
      <c r="R344" s="109"/>
      <c r="S344" s="42">
        <f>P354+R344</f>
        <v>-1460</v>
      </c>
      <c r="T344" s="110"/>
      <c r="U344" s="111"/>
      <c r="V344" s="48">
        <f>S354+U344</f>
        <v>-1460</v>
      </c>
      <c r="W344" s="143"/>
    </row>
    <row r="345" spans="1:23" ht="15.75" customHeight="1">
      <c r="A345" s="114"/>
      <c r="B345" s="106"/>
      <c r="C345" s="107"/>
      <c r="D345" s="20">
        <f t="shared" ref="D345:D354" si="203">D344+C345</f>
        <v>-1460</v>
      </c>
      <c r="E345" s="118"/>
      <c r="F345" s="117"/>
      <c r="G345" s="19">
        <f t="shared" ref="G345:G354" si="204">G344+F345</f>
        <v>-1460</v>
      </c>
      <c r="H345" s="116"/>
      <c r="I345" s="107"/>
      <c r="J345" s="26">
        <f t="shared" ref="J345:J354" si="205">J344+I345</f>
        <v>-1460</v>
      </c>
      <c r="K345" s="117"/>
      <c r="L345" s="117"/>
      <c r="M345" s="38">
        <f t="shared" ref="M345:M354" si="206">M344+L345</f>
        <v>-1460</v>
      </c>
      <c r="N345" s="106"/>
      <c r="O345" s="107"/>
      <c r="P345" s="26">
        <f t="shared" ref="P345:P354" si="207">P344+O345</f>
        <v>-1460</v>
      </c>
      <c r="Q345" s="117"/>
      <c r="R345" s="117"/>
      <c r="S345" s="19">
        <f t="shared" ref="S345:S354" si="208">S344+R345</f>
        <v>-1460</v>
      </c>
      <c r="T345" s="116"/>
      <c r="U345" s="107"/>
      <c r="V345" s="20">
        <f t="shared" ref="V345:V354" si="209">V344+U345</f>
        <v>-1460</v>
      </c>
      <c r="W345" s="143"/>
    </row>
    <row r="346" spans="1:23" ht="15.75" customHeight="1">
      <c r="A346" s="114"/>
      <c r="B346" s="106"/>
      <c r="C346" s="107"/>
      <c r="D346" s="20">
        <f t="shared" si="203"/>
        <v>-1460</v>
      </c>
      <c r="E346" s="118"/>
      <c r="F346" s="117"/>
      <c r="G346" s="19">
        <f t="shared" si="204"/>
        <v>-1460</v>
      </c>
      <c r="H346" s="116"/>
      <c r="I346" s="107"/>
      <c r="J346" s="26">
        <f t="shared" si="205"/>
        <v>-1460</v>
      </c>
      <c r="K346" s="117"/>
      <c r="L346" s="117"/>
      <c r="M346" s="38">
        <f t="shared" si="206"/>
        <v>-1460</v>
      </c>
      <c r="N346" s="106"/>
      <c r="O346" s="107"/>
      <c r="P346" s="26">
        <f t="shared" si="207"/>
        <v>-1460</v>
      </c>
      <c r="Q346" s="117"/>
      <c r="R346" s="117"/>
      <c r="S346" s="19">
        <f t="shared" si="208"/>
        <v>-1460</v>
      </c>
      <c r="T346" s="116"/>
      <c r="U346" s="116"/>
      <c r="V346" s="20">
        <f t="shared" si="209"/>
        <v>-1460</v>
      </c>
      <c r="W346" s="143"/>
    </row>
    <row r="347" spans="1:23" ht="15.75" customHeight="1">
      <c r="A347" s="114"/>
      <c r="B347" s="106"/>
      <c r="C347" s="107"/>
      <c r="D347" s="20">
        <f t="shared" si="203"/>
        <v>-1460</v>
      </c>
      <c r="E347" s="118"/>
      <c r="F347" s="117"/>
      <c r="G347" s="19">
        <f t="shared" si="204"/>
        <v>-1460</v>
      </c>
      <c r="H347" s="116"/>
      <c r="I347" s="107"/>
      <c r="J347" s="26">
        <f t="shared" si="205"/>
        <v>-1460</v>
      </c>
      <c r="K347" s="117"/>
      <c r="L347" s="117"/>
      <c r="M347" s="38">
        <f t="shared" si="206"/>
        <v>-1460</v>
      </c>
      <c r="N347" s="106"/>
      <c r="O347" s="107"/>
      <c r="P347" s="26">
        <f t="shared" si="207"/>
        <v>-1460</v>
      </c>
      <c r="Q347" s="117"/>
      <c r="R347" s="117"/>
      <c r="S347" s="19">
        <f t="shared" si="208"/>
        <v>-1460</v>
      </c>
      <c r="T347" s="116"/>
      <c r="U347" s="116"/>
      <c r="V347" s="20">
        <f t="shared" si="209"/>
        <v>-1460</v>
      </c>
      <c r="W347" s="143"/>
    </row>
    <row r="348" spans="1:23" ht="15.75" customHeight="1">
      <c r="A348" s="114"/>
      <c r="B348" s="106"/>
      <c r="C348" s="107"/>
      <c r="D348" s="20">
        <f t="shared" si="203"/>
        <v>-1460</v>
      </c>
      <c r="E348" s="118"/>
      <c r="F348" s="117"/>
      <c r="G348" s="19">
        <f t="shared" si="204"/>
        <v>-1460</v>
      </c>
      <c r="H348" s="116"/>
      <c r="I348" s="107"/>
      <c r="J348" s="26">
        <f t="shared" si="205"/>
        <v>-1460</v>
      </c>
      <c r="K348" s="117"/>
      <c r="L348" s="117"/>
      <c r="M348" s="38">
        <f t="shared" si="206"/>
        <v>-1460</v>
      </c>
      <c r="N348" s="106"/>
      <c r="O348" s="107"/>
      <c r="P348" s="26">
        <f t="shared" si="207"/>
        <v>-1460</v>
      </c>
      <c r="Q348" s="117"/>
      <c r="R348" s="117"/>
      <c r="S348" s="19">
        <f t="shared" si="208"/>
        <v>-1460</v>
      </c>
      <c r="T348" s="116"/>
      <c r="U348" s="116"/>
      <c r="V348" s="20">
        <f t="shared" si="209"/>
        <v>-1460</v>
      </c>
      <c r="W348" s="143"/>
    </row>
    <row r="349" spans="1:23" ht="15.75" customHeight="1">
      <c r="A349" s="114"/>
      <c r="B349" s="106"/>
      <c r="C349" s="107"/>
      <c r="D349" s="20">
        <f t="shared" si="203"/>
        <v>-1460</v>
      </c>
      <c r="E349" s="118"/>
      <c r="F349" s="117"/>
      <c r="G349" s="19">
        <f t="shared" si="204"/>
        <v>-1460</v>
      </c>
      <c r="H349" s="116"/>
      <c r="I349" s="107"/>
      <c r="J349" s="26">
        <f t="shared" si="205"/>
        <v>-1460</v>
      </c>
      <c r="K349" s="117"/>
      <c r="L349" s="117"/>
      <c r="M349" s="38">
        <f t="shared" si="206"/>
        <v>-1460</v>
      </c>
      <c r="N349" s="106"/>
      <c r="O349" s="107"/>
      <c r="P349" s="26">
        <f t="shared" si="207"/>
        <v>-1460</v>
      </c>
      <c r="Q349" s="117"/>
      <c r="R349" s="117"/>
      <c r="S349" s="19">
        <f t="shared" si="208"/>
        <v>-1460</v>
      </c>
      <c r="T349" s="116"/>
      <c r="U349" s="116"/>
      <c r="V349" s="20">
        <f t="shared" si="209"/>
        <v>-1460</v>
      </c>
      <c r="W349" s="143"/>
    </row>
    <row r="350" spans="1:23" ht="15.75" customHeight="1">
      <c r="A350" s="114"/>
      <c r="B350" s="106"/>
      <c r="C350" s="107"/>
      <c r="D350" s="20">
        <f t="shared" si="203"/>
        <v>-1460</v>
      </c>
      <c r="E350" s="118"/>
      <c r="F350" s="117"/>
      <c r="G350" s="19">
        <f t="shared" si="204"/>
        <v>-1460</v>
      </c>
      <c r="H350" s="116"/>
      <c r="I350" s="107"/>
      <c r="J350" s="26">
        <f t="shared" si="205"/>
        <v>-1460</v>
      </c>
      <c r="K350" s="117"/>
      <c r="L350" s="117"/>
      <c r="M350" s="38">
        <f t="shared" si="206"/>
        <v>-1460</v>
      </c>
      <c r="N350" s="106"/>
      <c r="O350" s="107"/>
      <c r="P350" s="26">
        <f t="shared" si="207"/>
        <v>-1460</v>
      </c>
      <c r="Q350" s="117"/>
      <c r="R350" s="117"/>
      <c r="S350" s="19">
        <f t="shared" si="208"/>
        <v>-1460</v>
      </c>
      <c r="T350" s="116"/>
      <c r="U350" s="116"/>
      <c r="V350" s="20">
        <f t="shared" si="209"/>
        <v>-1460</v>
      </c>
      <c r="W350" s="143"/>
    </row>
    <row r="351" spans="1:23" ht="15.75" customHeight="1">
      <c r="A351" s="114"/>
      <c r="B351" s="106"/>
      <c r="C351" s="107"/>
      <c r="D351" s="20">
        <f t="shared" si="203"/>
        <v>-1460</v>
      </c>
      <c r="E351" s="118"/>
      <c r="F351" s="117"/>
      <c r="G351" s="19">
        <f t="shared" si="204"/>
        <v>-1460</v>
      </c>
      <c r="H351" s="116"/>
      <c r="I351" s="107"/>
      <c r="J351" s="26">
        <f t="shared" si="205"/>
        <v>-1460</v>
      </c>
      <c r="K351" s="117"/>
      <c r="L351" s="117"/>
      <c r="M351" s="38">
        <f t="shared" si="206"/>
        <v>-1460</v>
      </c>
      <c r="N351" s="106"/>
      <c r="O351" s="107"/>
      <c r="P351" s="26">
        <f t="shared" si="207"/>
        <v>-1460</v>
      </c>
      <c r="Q351" s="117"/>
      <c r="R351" s="117"/>
      <c r="S351" s="19">
        <f t="shared" si="208"/>
        <v>-1460</v>
      </c>
      <c r="T351" s="116"/>
      <c r="U351" s="116"/>
      <c r="V351" s="20">
        <f t="shared" si="209"/>
        <v>-1460</v>
      </c>
      <c r="W351" s="143"/>
    </row>
    <row r="352" spans="1:23" ht="15.75" customHeight="1">
      <c r="A352" s="114"/>
      <c r="B352" s="122"/>
      <c r="C352" s="123"/>
      <c r="D352" s="20">
        <f t="shared" si="203"/>
        <v>-1460</v>
      </c>
      <c r="E352" s="118"/>
      <c r="F352" s="117"/>
      <c r="G352" s="19">
        <f t="shared" si="204"/>
        <v>-1460</v>
      </c>
      <c r="H352" s="124"/>
      <c r="I352" s="123"/>
      <c r="J352" s="26">
        <f t="shared" si="205"/>
        <v>-1460</v>
      </c>
      <c r="K352" s="117"/>
      <c r="L352" s="117"/>
      <c r="M352" s="38">
        <f t="shared" si="206"/>
        <v>-1460</v>
      </c>
      <c r="N352" s="122"/>
      <c r="O352" s="123"/>
      <c r="P352" s="26">
        <f t="shared" si="207"/>
        <v>-1460</v>
      </c>
      <c r="Q352" s="117"/>
      <c r="R352" s="117"/>
      <c r="S352" s="19">
        <f t="shared" si="208"/>
        <v>-1460</v>
      </c>
      <c r="T352" s="116"/>
      <c r="U352" s="116"/>
      <c r="V352" s="20">
        <f t="shared" si="209"/>
        <v>-1460</v>
      </c>
      <c r="W352" s="143"/>
    </row>
    <row r="353" spans="1:23" ht="15.75" customHeight="1">
      <c r="A353" s="114"/>
      <c r="B353" s="122"/>
      <c r="C353" s="123"/>
      <c r="D353" s="20">
        <f t="shared" si="203"/>
        <v>-1460</v>
      </c>
      <c r="E353" s="118"/>
      <c r="F353" s="117"/>
      <c r="G353" s="19">
        <f t="shared" si="204"/>
        <v>-1460</v>
      </c>
      <c r="H353" s="124"/>
      <c r="I353" s="123"/>
      <c r="J353" s="26">
        <f t="shared" si="205"/>
        <v>-1460</v>
      </c>
      <c r="K353" s="117"/>
      <c r="L353" s="117"/>
      <c r="M353" s="38">
        <f t="shared" si="206"/>
        <v>-1460</v>
      </c>
      <c r="N353" s="122"/>
      <c r="O353" s="123"/>
      <c r="P353" s="26">
        <f t="shared" si="207"/>
        <v>-1460</v>
      </c>
      <c r="Q353" s="117"/>
      <c r="R353" s="117"/>
      <c r="S353" s="19">
        <f t="shared" si="208"/>
        <v>-1460</v>
      </c>
      <c r="T353" s="124"/>
      <c r="U353" s="124"/>
      <c r="V353" s="20">
        <f t="shared" si="209"/>
        <v>-1460</v>
      </c>
      <c r="W353" s="143"/>
    </row>
    <row r="354" spans="1:23" ht="15.75" customHeight="1">
      <c r="A354" s="114"/>
      <c r="B354" s="122"/>
      <c r="C354" s="123"/>
      <c r="D354" s="49">
        <f t="shared" si="203"/>
        <v>-1460</v>
      </c>
      <c r="E354" s="154"/>
      <c r="F354" s="128"/>
      <c r="G354" s="29">
        <f t="shared" si="204"/>
        <v>-1460</v>
      </c>
      <c r="H354" s="124"/>
      <c r="I354" s="123"/>
      <c r="J354" s="39">
        <f t="shared" si="205"/>
        <v>-1460</v>
      </c>
      <c r="K354" s="128"/>
      <c r="L354" s="128"/>
      <c r="M354" s="40">
        <f t="shared" si="206"/>
        <v>-1460</v>
      </c>
      <c r="N354" s="122"/>
      <c r="O354" s="123"/>
      <c r="P354" s="39">
        <f t="shared" si="207"/>
        <v>-1460</v>
      </c>
      <c r="Q354" s="128"/>
      <c r="R354" s="128"/>
      <c r="S354" s="29">
        <f t="shared" si="208"/>
        <v>-1460</v>
      </c>
      <c r="T354" s="124"/>
      <c r="U354" s="123"/>
      <c r="V354" s="49">
        <f t="shared" si="209"/>
        <v>-1460</v>
      </c>
      <c r="W354" s="143"/>
    </row>
    <row r="355" spans="1:23" ht="15.75" customHeight="1">
      <c r="A355" s="87"/>
      <c r="B355" s="77" t="str">
        <f ca="1">IFERROR(__xludf.DUMMYFUNCTION("DATE(VALUE(LEFT($B$2,4)),VALUE(MID($B$2,6,2)),VALUE(RIGHT($B$2,2)))
+ (VALUE(REGEXEXTRACT(INDIRECT(""A""&amp;ROW()+1),""\d+""))-1)*7
+ INT((COLUMN()-COLUMN($B355))/3)
"),"#VALUE!")</f>
        <v>#VALUE!</v>
      </c>
      <c r="C355" s="81"/>
      <c r="D355" s="82"/>
      <c r="E355" s="77" t="str">
        <f ca="1">IFERROR(__xludf.DUMMYFUNCTION("DATE(VALUE(LEFT($B$2,4)),VALUE(MID($B$2,6,2)),VALUE(RIGHT($B$2,2)))
+ (VALUE(REGEXEXTRACT(INDIRECT(""A""&amp;ROW()+1),""\d+""))-1)*7
+ INT((COLUMN()-COLUMN($B355))/3)
"),"#VALUE!")</f>
        <v>#VALUE!</v>
      </c>
      <c r="F355" s="81"/>
      <c r="G355" s="82"/>
      <c r="H355" s="77" t="str">
        <f ca="1">IFERROR(__xludf.DUMMYFUNCTION("DATE(VALUE(LEFT($B$2,4)),VALUE(MID($B$2,6,2)),VALUE(RIGHT($B$2,2)))
+ (VALUE(REGEXEXTRACT(INDIRECT(""A""&amp;ROW()+1),""\d+""))-1)*7
+ INT((COLUMN()-COLUMN($B355))/3)
"),"#VALUE!")</f>
        <v>#VALUE!</v>
      </c>
      <c r="I355" s="81"/>
      <c r="J355" s="82"/>
      <c r="K355" s="77" t="str">
        <f ca="1">IFERROR(__xludf.DUMMYFUNCTION("DATE(VALUE(LEFT($B$2,4)),VALUE(MID($B$2,6,2)),VALUE(RIGHT($B$2,2)))
+ (VALUE(REGEXEXTRACT(INDIRECT(""A""&amp;ROW()+1),""\d+""))-1)*7
+ INT((COLUMN()-COLUMN($B355))/3)
"),"#VALUE!")</f>
        <v>#VALUE!</v>
      </c>
      <c r="L355" s="81"/>
      <c r="M355" s="82"/>
      <c r="N355" s="77" t="str">
        <f ca="1">IFERROR(__xludf.DUMMYFUNCTION("DATE(VALUE(LEFT($B$2,4)),VALUE(MID($B$2,6,2)),VALUE(RIGHT($B$2,2)))
+ (VALUE(REGEXEXTRACT(INDIRECT(""A""&amp;ROW()+1),""\d+""))-1)*7
+ INT((COLUMN()-COLUMN($B355))/3)
"),"#VALUE!")</f>
        <v>#VALUE!</v>
      </c>
      <c r="O355" s="81"/>
      <c r="P355" s="82"/>
      <c r="Q355" s="77" t="str">
        <f ca="1">IFERROR(__xludf.DUMMYFUNCTION("DATE(VALUE(LEFT($B$2,4)),VALUE(MID($B$2,6,2)),VALUE(RIGHT($B$2,2)))
+ (VALUE(REGEXEXTRACT(INDIRECT(""A""&amp;ROW()+1),""\d+""))-1)*7
+ INT((COLUMN()-COLUMN($B355))/3)
"),"#VALUE!")</f>
        <v>#VALUE!</v>
      </c>
      <c r="R355" s="81"/>
      <c r="S355" s="82"/>
      <c r="T355" s="77" t="str">
        <f ca="1">IFERROR(__xludf.DUMMYFUNCTION("DATE(VALUE(LEFT($B$2,4)),VALUE(MID($B$2,6,2)),VALUE(RIGHT($B$2,2)))
+ (VALUE(REGEXEXTRACT(INDIRECT(""A""&amp;ROW()+1),""\d+""))-1)*7
+ INT((COLUMN()-COLUMN($B355))/3)
"),"#VALUE!")</f>
        <v>#VALUE!</v>
      </c>
      <c r="U355" s="81"/>
      <c r="V355" s="82"/>
      <c r="W355" s="52" t="s">
        <v>20</v>
      </c>
    </row>
    <row r="356" spans="1:23" ht="15.75" customHeight="1">
      <c r="A356" s="47" t="s">
        <v>159</v>
      </c>
      <c r="B356" s="113"/>
      <c r="C356" s="109"/>
      <c r="D356" s="50">
        <f>V354+C356</f>
        <v>-1460</v>
      </c>
      <c r="E356" s="112"/>
      <c r="F356" s="111"/>
      <c r="G356" s="17">
        <f>D366+F356</f>
        <v>-1460</v>
      </c>
      <c r="H356" s="132"/>
      <c r="I356" s="109"/>
      <c r="J356" s="42">
        <f>G366+I356</f>
        <v>-1460</v>
      </c>
      <c r="K356" s="112"/>
      <c r="L356" s="111"/>
      <c r="M356" s="18">
        <f>J366+L356</f>
        <v>-1460</v>
      </c>
      <c r="N356" s="113"/>
      <c r="O356" s="109"/>
      <c r="P356" s="35">
        <f>M366+O356</f>
        <v>-1460</v>
      </c>
      <c r="Q356" s="112"/>
      <c r="R356" s="111"/>
      <c r="S356" s="17">
        <f>P366+R356</f>
        <v>-1460</v>
      </c>
      <c r="T356" s="176"/>
      <c r="U356" s="173"/>
      <c r="V356" s="50">
        <f>S366+U356</f>
        <v>-1460</v>
      </c>
      <c r="W356" s="172"/>
    </row>
    <row r="357" spans="1:23" ht="15.75" customHeight="1">
      <c r="A357" s="114"/>
      <c r="B357" s="118"/>
      <c r="C357" s="117"/>
      <c r="D357" s="45">
        <f t="shared" ref="D357:D366" si="210">D356+C357</f>
        <v>-1460</v>
      </c>
      <c r="E357" s="106"/>
      <c r="F357" s="107"/>
      <c r="G357" s="26">
        <f t="shared" ref="G357:G366" si="211">G356+F357</f>
        <v>-1460</v>
      </c>
      <c r="H357" s="117"/>
      <c r="I357" s="117"/>
      <c r="J357" s="19">
        <f t="shared" ref="J357:J366" si="212">J356+I357</f>
        <v>-1460</v>
      </c>
      <c r="K357" s="106"/>
      <c r="L357" s="107"/>
      <c r="M357" s="26">
        <f t="shared" ref="M357:M366" si="213">M356+L357</f>
        <v>-1460</v>
      </c>
      <c r="N357" s="118"/>
      <c r="O357" s="117"/>
      <c r="P357" s="38">
        <f t="shared" ref="P357:P366" si="214">P356+O357</f>
        <v>-1460</v>
      </c>
      <c r="Q357" s="106"/>
      <c r="R357" s="107"/>
      <c r="S357" s="26">
        <f t="shared" ref="S357:S366" si="215">S356+R357</f>
        <v>-1460</v>
      </c>
      <c r="T357" s="177"/>
      <c r="U357" s="136"/>
      <c r="V357" s="45">
        <f t="shared" ref="V357:V366" si="216">V356+U357</f>
        <v>-1460</v>
      </c>
      <c r="W357" s="143"/>
    </row>
    <row r="358" spans="1:23" ht="15.75" customHeight="1">
      <c r="A358" s="114"/>
      <c r="B358" s="118"/>
      <c r="C358" s="117"/>
      <c r="D358" s="45">
        <f t="shared" si="210"/>
        <v>-1460</v>
      </c>
      <c r="E358" s="106"/>
      <c r="F358" s="107"/>
      <c r="G358" s="26">
        <f t="shared" si="211"/>
        <v>-1460</v>
      </c>
      <c r="H358" s="117"/>
      <c r="I358" s="117"/>
      <c r="J358" s="19">
        <f t="shared" si="212"/>
        <v>-1460</v>
      </c>
      <c r="K358" s="106"/>
      <c r="L358" s="107"/>
      <c r="M358" s="26">
        <f t="shared" si="213"/>
        <v>-1460</v>
      </c>
      <c r="N358" s="117"/>
      <c r="O358" s="117"/>
      <c r="P358" s="38">
        <f t="shared" si="214"/>
        <v>-1460</v>
      </c>
      <c r="Q358" s="106"/>
      <c r="R358" s="107"/>
      <c r="S358" s="26">
        <f t="shared" si="215"/>
        <v>-1460</v>
      </c>
      <c r="T358" s="177"/>
      <c r="U358" s="136"/>
      <c r="V358" s="45">
        <f t="shared" si="216"/>
        <v>-1460</v>
      </c>
      <c r="W358" s="143"/>
    </row>
    <row r="359" spans="1:23" ht="15.75" customHeight="1">
      <c r="A359" s="114"/>
      <c r="B359" s="118"/>
      <c r="C359" s="117"/>
      <c r="D359" s="45">
        <f t="shared" si="210"/>
        <v>-1460</v>
      </c>
      <c r="E359" s="106"/>
      <c r="F359" s="107"/>
      <c r="G359" s="26">
        <f t="shared" si="211"/>
        <v>-1460</v>
      </c>
      <c r="H359" s="117"/>
      <c r="I359" s="117"/>
      <c r="J359" s="19">
        <f t="shared" si="212"/>
        <v>-1460</v>
      </c>
      <c r="K359" s="106"/>
      <c r="L359" s="107"/>
      <c r="M359" s="26">
        <f t="shared" si="213"/>
        <v>-1460</v>
      </c>
      <c r="N359" s="117"/>
      <c r="O359" s="117"/>
      <c r="P359" s="38">
        <f t="shared" si="214"/>
        <v>-1460</v>
      </c>
      <c r="Q359" s="106"/>
      <c r="R359" s="107"/>
      <c r="S359" s="26">
        <f t="shared" si="215"/>
        <v>-1460</v>
      </c>
      <c r="T359" s="177"/>
      <c r="U359" s="136"/>
      <c r="V359" s="45">
        <f t="shared" si="216"/>
        <v>-1460</v>
      </c>
      <c r="W359" s="143"/>
    </row>
    <row r="360" spans="1:23" ht="15.75" customHeight="1">
      <c r="A360" s="114"/>
      <c r="B360" s="118"/>
      <c r="C360" s="117"/>
      <c r="D360" s="45">
        <f t="shared" si="210"/>
        <v>-1460</v>
      </c>
      <c r="E360" s="106"/>
      <c r="F360" s="107"/>
      <c r="G360" s="26">
        <f t="shared" si="211"/>
        <v>-1460</v>
      </c>
      <c r="H360" s="133"/>
      <c r="I360" s="117"/>
      <c r="J360" s="19">
        <f t="shared" si="212"/>
        <v>-1460</v>
      </c>
      <c r="K360" s="106"/>
      <c r="L360" s="107"/>
      <c r="M360" s="26">
        <f t="shared" si="213"/>
        <v>-1460</v>
      </c>
      <c r="N360" s="117"/>
      <c r="O360" s="117"/>
      <c r="P360" s="38">
        <f t="shared" si="214"/>
        <v>-1460</v>
      </c>
      <c r="Q360" s="106"/>
      <c r="R360" s="107"/>
      <c r="S360" s="26">
        <f t="shared" si="215"/>
        <v>-1460</v>
      </c>
      <c r="T360" s="177"/>
      <c r="U360" s="136"/>
      <c r="V360" s="45">
        <f t="shared" si="216"/>
        <v>-1460</v>
      </c>
      <c r="W360" s="143"/>
    </row>
    <row r="361" spans="1:23" ht="15.75" customHeight="1">
      <c r="A361" s="114"/>
      <c r="B361" s="118"/>
      <c r="C361" s="117"/>
      <c r="D361" s="45">
        <f t="shared" si="210"/>
        <v>-1460</v>
      </c>
      <c r="E361" s="106"/>
      <c r="F361" s="107"/>
      <c r="G361" s="26">
        <f t="shared" si="211"/>
        <v>-1460</v>
      </c>
      <c r="H361" s="133"/>
      <c r="I361" s="117"/>
      <c r="J361" s="19">
        <f t="shared" si="212"/>
        <v>-1460</v>
      </c>
      <c r="K361" s="106"/>
      <c r="L361" s="107"/>
      <c r="M361" s="26">
        <f t="shared" si="213"/>
        <v>-1460</v>
      </c>
      <c r="N361" s="117"/>
      <c r="O361" s="117"/>
      <c r="P361" s="38">
        <f t="shared" si="214"/>
        <v>-1460</v>
      </c>
      <c r="Q361" s="106"/>
      <c r="R361" s="107"/>
      <c r="S361" s="26">
        <f t="shared" si="215"/>
        <v>-1460</v>
      </c>
      <c r="T361" s="136"/>
      <c r="U361" s="136"/>
      <c r="V361" s="45">
        <f t="shared" si="216"/>
        <v>-1460</v>
      </c>
      <c r="W361" s="143"/>
    </row>
    <row r="362" spans="1:23" ht="15.75" customHeight="1">
      <c r="A362" s="114"/>
      <c r="B362" s="117"/>
      <c r="C362" s="117"/>
      <c r="D362" s="45">
        <f t="shared" si="210"/>
        <v>-1460</v>
      </c>
      <c r="E362" s="106"/>
      <c r="F362" s="107"/>
      <c r="G362" s="26">
        <f t="shared" si="211"/>
        <v>-1460</v>
      </c>
      <c r="H362" s="133"/>
      <c r="I362" s="117"/>
      <c r="J362" s="19">
        <f t="shared" si="212"/>
        <v>-1460</v>
      </c>
      <c r="K362" s="106"/>
      <c r="L362" s="107"/>
      <c r="M362" s="26">
        <f t="shared" si="213"/>
        <v>-1460</v>
      </c>
      <c r="N362" s="117"/>
      <c r="O362" s="117"/>
      <c r="P362" s="38">
        <f t="shared" si="214"/>
        <v>-1460</v>
      </c>
      <c r="Q362" s="106"/>
      <c r="R362" s="107"/>
      <c r="S362" s="26">
        <f t="shared" si="215"/>
        <v>-1460</v>
      </c>
      <c r="T362" s="136"/>
      <c r="U362" s="136"/>
      <c r="V362" s="45">
        <f t="shared" si="216"/>
        <v>-1460</v>
      </c>
      <c r="W362" s="143"/>
    </row>
    <row r="363" spans="1:23" ht="15.75" customHeight="1">
      <c r="A363" s="114"/>
      <c r="B363" s="117"/>
      <c r="C363" s="117"/>
      <c r="D363" s="45">
        <f t="shared" si="210"/>
        <v>-1460</v>
      </c>
      <c r="E363" s="106"/>
      <c r="F363" s="107"/>
      <c r="G363" s="26">
        <f t="shared" si="211"/>
        <v>-1460</v>
      </c>
      <c r="H363" s="133"/>
      <c r="I363" s="117"/>
      <c r="J363" s="19">
        <f t="shared" si="212"/>
        <v>-1460</v>
      </c>
      <c r="K363" s="106"/>
      <c r="L363" s="107"/>
      <c r="M363" s="26">
        <f t="shared" si="213"/>
        <v>-1460</v>
      </c>
      <c r="N363" s="117"/>
      <c r="O363" s="117"/>
      <c r="P363" s="38">
        <f t="shared" si="214"/>
        <v>-1460</v>
      </c>
      <c r="Q363" s="106"/>
      <c r="R363" s="107"/>
      <c r="S363" s="26">
        <f t="shared" si="215"/>
        <v>-1460</v>
      </c>
      <c r="T363" s="136"/>
      <c r="U363" s="136"/>
      <c r="V363" s="45">
        <f t="shared" si="216"/>
        <v>-1460</v>
      </c>
      <c r="W363" s="143"/>
    </row>
    <row r="364" spans="1:23" ht="15.75" customHeight="1">
      <c r="A364" s="114"/>
      <c r="B364" s="117"/>
      <c r="C364" s="117"/>
      <c r="D364" s="45">
        <f t="shared" si="210"/>
        <v>-1460</v>
      </c>
      <c r="E364" s="106"/>
      <c r="F364" s="107"/>
      <c r="G364" s="26">
        <f t="shared" si="211"/>
        <v>-1460</v>
      </c>
      <c r="H364" s="133"/>
      <c r="I364" s="117"/>
      <c r="J364" s="19">
        <f t="shared" si="212"/>
        <v>-1460</v>
      </c>
      <c r="K364" s="106"/>
      <c r="L364" s="107"/>
      <c r="M364" s="26">
        <f t="shared" si="213"/>
        <v>-1460</v>
      </c>
      <c r="N364" s="117"/>
      <c r="O364" s="117"/>
      <c r="P364" s="38">
        <f t="shared" si="214"/>
        <v>-1460</v>
      </c>
      <c r="Q364" s="106"/>
      <c r="R364" s="107"/>
      <c r="S364" s="26">
        <f t="shared" si="215"/>
        <v>-1460</v>
      </c>
      <c r="T364" s="136"/>
      <c r="U364" s="136"/>
      <c r="V364" s="45">
        <f t="shared" si="216"/>
        <v>-1460</v>
      </c>
      <c r="W364" s="143"/>
    </row>
    <row r="365" spans="1:23" ht="15.75" customHeight="1">
      <c r="A365" s="114"/>
      <c r="B365" s="117"/>
      <c r="C365" s="117"/>
      <c r="D365" s="45">
        <f t="shared" si="210"/>
        <v>-1460</v>
      </c>
      <c r="E365" s="122"/>
      <c r="F365" s="123"/>
      <c r="G365" s="26">
        <f t="shared" si="211"/>
        <v>-1460</v>
      </c>
      <c r="H365" s="133"/>
      <c r="I365" s="117"/>
      <c r="J365" s="19">
        <f t="shared" si="212"/>
        <v>-1460</v>
      </c>
      <c r="K365" s="122"/>
      <c r="L365" s="123"/>
      <c r="M365" s="26">
        <f t="shared" si="213"/>
        <v>-1460</v>
      </c>
      <c r="N365" s="117"/>
      <c r="O365" s="117"/>
      <c r="P365" s="38">
        <f t="shared" si="214"/>
        <v>-1460</v>
      </c>
      <c r="Q365" s="122"/>
      <c r="R365" s="123"/>
      <c r="S365" s="26">
        <f t="shared" si="215"/>
        <v>-1460</v>
      </c>
      <c r="T365" s="136"/>
      <c r="U365" s="136"/>
      <c r="V365" s="45">
        <f t="shared" si="216"/>
        <v>-1460</v>
      </c>
      <c r="W365" s="143"/>
    </row>
    <row r="366" spans="1:23" ht="15.75" customHeight="1">
      <c r="A366" s="114"/>
      <c r="B366" s="128"/>
      <c r="C366" s="128"/>
      <c r="D366" s="46">
        <f t="shared" si="210"/>
        <v>-1460</v>
      </c>
      <c r="E366" s="122"/>
      <c r="F366" s="123"/>
      <c r="G366" s="39">
        <f t="shared" si="211"/>
        <v>-1460</v>
      </c>
      <c r="H366" s="140"/>
      <c r="I366" s="128"/>
      <c r="J366" s="29">
        <f t="shared" si="212"/>
        <v>-1460</v>
      </c>
      <c r="K366" s="122"/>
      <c r="L366" s="123"/>
      <c r="M366" s="39">
        <f t="shared" si="213"/>
        <v>-1460</v>
      </c>
      <c r="N366" s="128"/>
      <c r="O366" s="128"/>
      <c r="P366" s="40">
        <f t="shared" si="214"/>
        <v>-1460</v>
      </c>
      <c r="Q366" s="122"/>
      <c r="R366" s="123"/>
      <c r="S366" s="39">
        <f t="shared" si="215"/>
        <v>-1460</v>
      </c>
      <c r="T366" s="141"/>
      <c r="U366" s="141"/>
      <c r="V366" s="46">
        <f t="shared" si="216"/>
        <v>-1460</v>
      </c>
      <c r="W366" s="143"/>
    </row>
    <row r="367" spans="1:23" ht="15.75" customHeight="1">
      <c r="A367" s="87"/>
      <c r="B367" s="77" t="str">
        <f ca="1">IFERROR(__xludf.DUMMYFUNCTION("DATE(VALUE(LEFT($B$2,4)),VALUE(MID($B$2,6,2)),VALUE(RIGHT($B$2,2)))
+ (VALUE(REGEXEXTRACT(INDIRECT(""A""&amp;ROW()+1),""\d+""))-1)*7
+ INT((COLUMN()-COLUMN($B367))/3)
"),"#VALUE!")</f>
        <v>#VALUE!</v>
      </c>
      <c r="C367" s="81"/>
      <c r="D367" s="82"/>
      <c r="E367" s="77" t="str">
        <f ca="1">IFERROR(__xludf.DUMMYFUNCTION("DATE(VALUE(LEFT($B$2,4)),VALUE(MID($B$2,6,2)),VALUE(RIGHT($B$2,2)))
+ (VALUE(REGEXEXTRACT(INDIRECT(""A""&amp;ROW()+1),""\d+""))-1)*7
+ INT((COLUMN()-COLUMN($B367))/3)
"),"#VALUE!")</f>
        <v>#VALUE!</v>
      </c>
      <c r="F367" s="81"/>
      <c r="G367" s="82"/>
      <c r="H367" s="77" t="str">
        <f ca="1">IFERROR(__xludf.DUMMYFUNCTION("DATE(VALUE(LEFT($B$2,4)),VALUE(MID($B$2,6,2)),VALUE(RIGHT($B$2,2)))
+ (VALUE(REGEXEXTRACT(INDIRECT(""A""&amp;ROW()+1),""\d+""))-1)*7
+ INT((COLUMN()-COLUMN($B367))/3)
"),"#VALUE!")</f>
        <v>#VALUE!</v>
      </c>
      <c r="I367" s="81"/>
      <c r="J367" s="82"/>
      <c r="K367" s="77" t="str">
        <f ca="1">IFERROR(__xludf.DUMMYFUNCTION("DATE(VALUE(LEFT($B$2,4)),VALUE(MID($B$2,6,2)),VALUE(RIGHT($B$2,2)))
+ (VALUE(REGEXEXTRACT(INDIRECT(""A""&amp;ROW()+1),""\d+""))-1)*7
+ INT((COLUMN()-COLUMN($B367))/3)
"),"#VALUE!")</f>
        <v>#VALUE!</v>
      </c>
      <c r="L367" s="81"/>
      <c r="M367" s="82"/>
      <c r="N367" s="77" t="str">
        <f ca="1">IFERROR(__xludf.DUMMYFUNCTION("DATE(VALUE(LEFT($B$2,4)),VALUE(MID($B$2,6,2)),VALUE(RIGHT($B$2,2)))
+ (VALUE(REGEXEXTRACT(INDIRECT(""A""&amp;ROW()+1),""\d+""))-1)*7
+ INT((COLUMN()-COLUMN($B367))/3)
"),"#VALUE!")</f>
        <v>#VALUE!</v>
      </c>
      <c r="O367" s="81"/>
      <c r="P367" s="82"/>
      <c r="Q367" s="77" t="str">
        <f ca="1">IFERROR(__xludf.DUMMYFUNCTION("DATE(VALUE(LEFT($B$2,4)),VALUE(MID($B$2,6,2)),VALUE(RIGHT($B$2,2)))
+ (VALUE(REGEXEXTRACT(INDIRECT(""A""&amp;ROW()+1),""\d+""))-1)*7
+ INT((COLUMN()-COLUMN($B367))/3)
"),"#VALUE!")</f>
        <v>#VALUE!</v>
      </c>
      <c r="R367" s="81"/>
      <c r="S367" s="82"/>
      <c r="T367" s="77" t="str">
        <f ca="1">IFERROR(__xludf.DUMMYFUNCTION("DATE(VALUE(LEFT($B$2,4)),VALUE(MID($B$2,6,2)),VALUE(RIGHT($B$2,2)))
+ (VALUE(REGEXEXTRACT(INDIRECT(""A""&amp;ROW()+1),""\d+""))-1)*7
+ INT((COLUMN()-COLUMN($B367))/3)
"),"#VALUE!")</f>
        <v>#VALUE!</v>
      </c>
      <c r="U367" s="81"/>
      <c r="V367" s="82"/>
      <c r="W367" s="143"/>
    </row>
    <row r="368" spans="1:23" ht="15.75" customHeight="1">
      <c r="A368" s="51" t="s">
        <v>160</v>
      </c>
      <c r="B368" s="112"/>
      <c r="C368" s="111"/>
      <c r="D368" s="48">
        <f>V366+C368</f>
        <v>-1460</v>
      </c>
      <c r="E368" s="113"/>
      <c r="F368" s="109"/>
      <c r="G368" s="42">
        <f>D378+F368</f>
        <v>-1460</v>
      </c>
      <c r="H368" s="110"/>
      <c r="I368" s="111"/>
      <c r="J368" s="17">
        <f>G378+I368</f>
        <v>-1460</v>
      </c>
      <c r="K368" s="109"/>
      <c r="L368" s="109"/>
      <c r="M368" s="35">
        <f>J378+L368</f>
        <v>-1460</v>
      </c>
      <c r="N368" s="112"/>
      <c r="O368" s="111"/>
      <c r="P368" s="17">
        <f>M378+O368</f>
        <v>-1460</v>
      </c>
      <c r="Q368" s="109"/>
      <c r="R368" s="109"/>
      <c r="S368" s="35">
        <f>P378+R368</f>
        <v>-1460</v>
      </c>
      <c r="T368" s="112"/>
      <c r="U368" s="111"/>
      <c r="V368" s="48">
        <f>S378+U368</f>
        <v>-1460</v>
      </c>
      <c r="W368" s="143"/>
    </row>
    <row r="369" spans="1:23" ht="15.75" customHeight="1">
      <c r="A369" s="114"/>
      <c r="B369" s="106"/>
      <c r="C369" s="107"/>
      <c r="D369" s="20">
        <f t="shared" ref="D369:D378" si="217">D368+C369</f>
        <v>-1460</v>
      </c>
      <c r="E369" s="118"/>
      <c r="F369" s="117"/>
      <c r="G369" s="19">
        <f t="shared" ref="G369:G378" si="218">G368+F369</f>
        <v>-1460</v>
      </c>
      <c r="H369" s="116"/>
      <c r="I369" s="107"/>
      <c r="J369" s="26">
        <f t="shared" ref="J369:J378" si="219">J368+I369</f>
        <v>-1460</v>
      </c>
      <c r="K369" s="117"/>
      <c r="L369" s="117"/>
      <c r="M369" s="38">
        <f t="shared" ref="M369:M378" si="220">M368+L369</f>
        <v>-1460</v>
      </c>
      <c r="N369" s="106"/>
      <c r="O369" s="107"/>
      <c r="P369" s="26">
        <f t="shared" ref="P369:P378" si="221">P368+O369</f>
        <v>-1460</v>
      </c>
      <c r="Q369" s="117"/>
      <c r="R369" s="117"/>
      <c r="S369" s="38">
        <f t="shared" ref="S369:S378" si="222">S368+R369</f>
        <v>-1460</v>
      </c>
      <c r="T369" s="106"/>
      <c r="U369" s="107"/>
      <c r="V369" s="20">
        <f t="shared" ref="V369:V378" si="223">V368+U369</f>
        <v>-1460</v>
      </c>
      <c r="W369" s="143"/>
    </row>
    <row r="370" spans="1:23" ht="15.75" customHeight="1">
      <c r="A370" s="114"/>
      <c r="B370" s="106"/>
      <c r="C370" s="107"/>
      <c r="D370" s="20">
        <f t="shared" si="217"/>
        <v>-1460</v>
      </c>
      <c r="E370" s="118"/>
      <c r="F370" s="117"/>
      <c r="G370" s="19">
        <f t="shared" si="218"/>
        <v>-1460</v>
      </c>
      <c r="H370" s="116"/>
      <c r="I370" s="107"/>
      <c r="J370" s="26">
        <f t="shared" si="219"/>
        <v>-1460</v>
      </c>
      <c r="K370" s="117"/>
      <c r="L370" s="117"/>
      <c r="M370" s="38">
        <f t="shared" si="220"/>
        <v>-1460</v>
      </c>
      <c r="N370" s="106"/>
      <c r="O370" s="107"/>
      <c r="P370" s="26">
        <f t="shared" si="221"/>
        <v>-1460</v>
      </c>
      <c r="Q370" s="117"/>
      <c r="R370" s="117"/>
      <c r="S370" s="38">
        <f t="shared" si="222"/>
        <v>-1460</v>
      </c>
      <c r="T370" s="106"/>
      <c r="U370" s="116"/>
      <c r="V370" s="20">
        <f t="shared" si="223"/>
        <v>-1460</v>
      </c>
      <c r="W370" s="143"/>
    </row>
    <row r="371" spans="1:23" ht="15.75" customHeight="1">
      <c r="A371" s="114"/>
      <c r="B371" s="106"/>
      <c r="C371" s="107"/>
      <c r="D371" s="20">
        <f t="shared" si="217"/>
        <v>-1460</v>
      </c>
      <c r="E371" s="118"/>
      <c r="F371" s="117"/>
      <c r="G371" s="19">
        <f t="shared" si="218"/>
        <v>-1460</v>
      </c>
      <c r="H371" s="116"/>
      <c r="I371" s="107"/>
      <c r="J371" s="26">
        <f t="shared" si="219"/>
        <v>-1460</v>
      </c>
      <c r="K371" s="117"/>
      <c r="L371" s="117"/>
      <c r="M371" s="38">
        <f t="shared" si="220"/>
        <v>-1460</v>
      </c>
      <c r="N371" s="106"/>
      <c r="O371" s="107"/>
      <c r="P371" s="26">
        <f t="shared" si="221"/>
        <v>-1460</v>
      </c>
      <c r="Q371" s="117"/>
      <c r="R371" s="117"/>
      <c r="S371" s="38">
        <f t="shared" si="222"/>
        <v>-1460</v>
      </c>
      <c r="T371" s="106"/>
      <c r="U371" s="116"/>
      <c r="V371" s="20">
        <f t="shared" si="223"/>
        <v>-1460</v>
      </c>
      <c r="W371" s="143"/>
    </row>
    <row r="372" spans="1:23" ht="15.75" customHeight="1">
      <c r="A372" s="114"/>
      <c r="B372" s="106"/>
      <c r="C372" s="107"/>
      <c r="D372" s="20">
        <f t="shared" si="217"/>
        <v>-1460</v>
      </c>
      <c r="E372" s="118"/>
      <c r="F372" s="117"/>
      <c r="G372" s="19">
        <f t="shared" si="218"/>
        <v>-1460</v>
      </c>
      <c r="H372" s="116"/>
      <c r="I372" s="107"/>
      <c r="J372" s="26">
        <f t="shared" si="219"/>
        <v>-1460</v>
      </c>
      <c r="K372" s="117"/>
      <c r="L372" s="117"/>
      <c r="M372" s="38">
        <f t="shared" si="220"/>
        <v>-1460</v>
      </c>
      <c r="N372" s="106"/>
      <c r="O372" s="107"/>
      <c r="P372" s="26">
        <f t="shared" si="221"/>
        <v>-1460</v>
      </c>
      <c r="Q372" s="117"/>
      <c r="R372" s="117"/>
      <c r="S372" s="38">
        <f t="shared" si="222"/>
        <v>-1460</v>
      </c>
      <c r="T372" s="106"/>
      <c r="U372" s="116"/>
      <c r="V372" s="20">
        <f t="shared" si="223"/>
        <v>-1460</v>
      </c>
      <c r="W372" s="143"/>
    </row>
    <row r="373" spans="1:23" ht="15.75" customHeight="1">
      <c r="A373" s="114"/>
      <c r="B373" s="106"/>
      <c r="C373" s="107"/>
      <c r="D373" s="20">
        <f t="shared" si="217"/>
        <v>-1460</v>
      </c>
      <c r="E373" s="118"/>
      <c r="F373" s="117"/>
      <c r="G373" s="19">
        <f t="shared" si="218"/>
        <v>-1460</v>
      </c>
      <c r="H373" s="116"/>
      <c r="I373" s="107"/>
      <c r="J373" s="26">
        <f t="shared" si="219"/>
        <v>-1460</v>
      </c>
      <c r="K373" s="117"/>
      <c r="L373" s="117"/>
      <c r="M373" s="38">
        <f t="shared" si="220"/>
        <v>-1460</v>
      </c>
      <c r="N373" s="106"/>
      <c r="O373" s="107"/>
      <c r="P373" s="26">
        <f t="shared" si="221"/>
        <v>-1460</v>
      </c>
      <c r="Q373" s="117"/>
      <c r="R373" s="117"/>
      <c r="S373" s="38">
        <f t="shared" si="222"/>
        <v>-1460</v>
      </c>
      <c r="T373" s="106"/>
      <c r="U373" s="116"/>
      <c r="V373" s="20">
        <f t="shared" si="223"/>
        <v>-1460</v>
      </c>
      <c r="W373" s="143"/>
    </row>
    <row r="374" spans="1:23" ht="15.75" customHeight="1">
      <c r="A374" s="114"/>
      <c r="B374" s="106"/>
      <c r="C374" s="107"/>
      <c r="D374" s="20">
        <f t="shared" si="217"/>
        <v>-1460</v>
      </c>
      <c r="E374" s="118"/>
      <c r="F374" s="117"/>
      <c r="G374" s="19">
        <f t="shared" si="218"/>
        <v>-1460</v>
      </c>
      <c r="H374" s="116"/>
      <c r="I374" s="107"/>
      <c r="J374" s="26">
        <f t="shared" si="219"/>
        <v>-1460</v>
      </c>
      <c r="K374" s="117"/>
      <c r="L374" s="117"/>
      <c r="M374" s="38">
        <f t="shared" si="220"/>
        <v>-1460</v>
      </c>
      <c r="N374" s="106"/>
      <c r="O374" s="107"/>
      <c r="P374" s="26">
        <f t="shared" si="221"/>
        <v>-1460</v>
      </c>
      <c r="Q374" s="117"/>
      <c r="R374" s="117"/>
      <c r="S374" s="38">
        <f t="shared" si="222"/>
        <v>-1460</v>
      </c>
      <c r="T374" s="106"/>
      <c r="U374" s="116"/>
      <c r="V374" s="20">
        <f t="shared" si="223"/>
        <v>-1460</v>
      </c>
      <c r="W374" s="143"/>
    </row>
    <row r="375" spans="1:23" ht="15.75" customHeight="1">
      <c r="A375" s="114"/>
      <c r="B375" s="106"/>
      <c r="C375" s="107"/>
      <c r="D375" s="20">
        <f t="shared" si="217"/>
        <v>-1460</v>
      </c>
      <c r="E375" s="118"/>
      <c r="F375" s="117"/>
      <c r="G375" s="19">
        <f t="shared" si="218"/>
        <v>-1460</v>
      </c>
      <c r="H375" s="116"/>
      <c r="I375" s="107"/>
      <c r="J375" s="26">
        <f t="shared" si="219"/>
        <v>-1460</v>
      </c>
      <c r="K375" s="117"/>
      <c r="L375" s="117"/>
      <c r="M375" s="38">
        <f t="shared" si="220"/>
        <v>-1460</v>
      </c>
      <c r="N375" s="106"/>
      <c r="O375" s="107"/>
      <c r="P375" s="26">
        <f t="shared" si="221"/>
        <v>-1460</v>
      </c>
      <c r="Q375" s="117"/>
      <c r="R375" s="117"/>
      <c r="S375" s="38">
        <f t="shared" si="222"/>
        <v>-1460</v>
      </c>
      <c r="T375" s="106"/>
      <c r="U375" s="116"/>
      <c r="V375" s="20">
        <f t="shared" si="223"/>
        <v>-1460</v>
      </c>
      <c r="W375" s="143"/>
    </row>
    <row r="376" spans="1:23" ht="15.75" customHeight="1">
      <c r="A376" s="114"/>
      <c r="B376" s="122"/>
      <c r="C376" s="123"/>
      <c r="D376" s="20">
        <f t="shared" si="217"/>
        <v>-1460</v>
      </c>
      <c r="E376" s="118"/>
      <c r="F376" s="117"/>
      <c r="G376" s="19">
        <f t="shared" si="218"/>
        <v>-1460</v>
      </c>
      <c r="H376" s="124"/>
      <c r="I376" s="123"/>
      <c r="J376" s="26">
        <f t="shared" si="219"/>
        <v>-1460</v>
      </c>
      <c r="K376" s="117"/>
      <c r="L376" s="117"/>
      <c r="M376" s="38">
        <f t="shared" si="220"/>
        <v>-1460</v>
      </c>
      <c r="N376" s="122"/>
      <c r="O376" s="123"/>
      <c r="P376" s="26">
        <f t="shared" si="221"/>
        <v>-1460</v>
      </c>
      <c r="Q376" s="117"/>
      <c r="R376" s="117"/>
      <c r="S376" s="38">
        <f t="shared" si="222"/>
        <v>-1460</v>
      </c>
      <c r="T376" s="106"/>
      <c r="U376" s="116"/>
      <c r="V376" s="20">
        <f t="shared" si="223"/>
        <v>-1460</v>
      </c>
      <c r="W376" s="143"/>
    </row>
    <row r="377" spans="1:23" ht="15.75" customHeight="1">
      <c r="A377" s="114"/>
      <c r="B377" s="122"/>
      <c r="C377" s="123"/>
      <c r="D377" s="20">
        <f t="shared" si="217"/>
        <v>-1460</v>
      </c>
      <c r="E377" s="118"/>
      <c r="F377" s="117"/>
      <c r="G377" s="19">
        <f t="shared" si="218"/>
        <v>-1460</v>
      </c>
      <c r="H377" s="124"/>
      <c r="I377" s="123"/>
      <c r="J377" s="26">
        <f t="shared" si="219"/>
        <v>-1460</v>
      </c>
      <c r="K377" s="117"/>
      <c r="L377" s="117"/>
      <c r="M377" s="38">
        <f t="shared" si="220"/>
        <v>-1460</v>
      </c>
      <c r="N377" s="122"/>
      <c r="O377" s="123"/>
      <c r="P377" s="26">
        <f t="shared" si="221"/>
        <v>-1460</v>
      </c>
      <c r="Q377" s="117"/>
      <c r="R377" s="117"/>
      <c r="S377" s="38">
        <f t="shared" si="222"/>
        <v>-1460</v>
      </c>
      <c r="T377" s="122"/>
      <c r="U377" s="124"/>
      <c r="V377" s="20">
        <f t="shared" si="223"/>
        <v>-1460</v>
      </c>
      <c r="W377" s="143"/>
    </row>
    <row r="378" spans="1:23" ht="15.75" customHeight="1">
      <c r="A378" s="114"/>
      <c r="B378" s="122"/>
      <c r="C378" s="123"/>
      <c r="D378" s="49">
        <f t="shared" si="217"/>
        <v>-1460</v>
      </c>
      <c r="E378" s="154"/>
      <c r="F378" s="128"/>
      <c r="G378" s="29">
        <f t="shared" si="218"/>
        <v>-1460</v>
      </c>
      <c r="H378" s="124"/>
      <c r="I378" s="123"/>
      <c r="J378" s="39">
        <f t="shared" si="219"/>
        <v>-1460</v>
      </c>
      <c r="K378" s="128"/>
      <c r="L378" s="128"/>
      <c r="M378" s="40">
        <f t="shared" si="220"/>
        <v>-1460</v>
      </c>
      <c r="N378" s="122"/>
      <c r="O378" s="123"/>
      <c r="P378" s="39">
        <f t="shared" si="221"/>
        <v>-1460</v>
      </c>
      <c r="Q378" s="128"/>
      <c r="R378" s="128"/>
      <c r="S378" s="40">
        <f t="shared" si="222"/>
        <v>-1460</v>
      </c>
      <c r="T378" s="122"/>
      <c r="U378" s="123"/>
      <c r="V378" s="49">
        <f t="shared" si="223"/>
        <v>-1460</v>
      </c>
      <c r="W378" s="143"/>
    </row>
    <row r="379" spans="1:23" ht="15.75" customHeight="1">
      <c r="A379" s="87"/>
      <c r="B379" s="77" t="str">
        <f ca="1">IFERROR(__xludf.DUMMYFUNCTION("DATE(VALUE(LEFT($B$2,4)),VALUE(MID($B$2,6,2)),VALUE(RIGHT($B$2,2)))
+ (VALUE(REGEXEXTRACT(INDIRECT(""A""&amp;ROW()+1),""\d+""))-1)*7
+ INT((COLUMN()-COLUMN($B379))/3)
"),"#VALUE!")</f>
        <v>#VALUE!</v>
      </c>
      <c r="C379" s="81"/>
      <c r="D379" s="82"/>
      <c r="E379" s="77" t="str">
        <f ca="1">IFERROR(__xludf.DUMMYFUNCTION("DATE(VALUE(LEFT($B$2,4)),VALUE(MID($B$2,6,2)),VALUE(RIGHT($B$2,2)))
+ (VALUE(REGEXEXTRACT(INDIRECT(""A""&amp;ROW()+1),""\d+""))-1)*7
+ INT((COLUMN()-COLUMN($B379))/3)
"),"#VALUE!")</f>
        <v>#VALUE!</v>
      </c>
      <c r="F379" s="81"/>
      <c r="G379" s="82"/>
      <c r="H379" s="77" t="str">
        <f ca="1">IFERROR(__xludf.DUMMYFUNCTION("DATE(VALUE(LEFT($B$2,4)),VALUE(MID($B$2,6,2)),VALUE(RIGHT($B$2,2)))
+ (VALUE(REGEXEXTRACT(INDIRECT(""A""&amp;ROW()+1),""\d+""))-1)*7
+ INT((COLUMN()-COLUMN($B379))/3)
"),"#VALUE!")</f>
        <v>#VALUE!</v>
      </c>
      <c r="I379" s="81"/>
      <c r="J379" s="82"/>
      <c r="K379" s="77" t="str">
        <f ca="1">IFERROR(__xludf.DUMMYFUNCTION("DATE(VALUE(LEFT($B$2,4)),VALUE(MID($B$2,6,2)),VALUE(RIGHT($B$2,2)))
+ (VALUE(REGEXEXTRACT(INDIRECT(""A""&amp;ROW()+1),""\d+""))-1)*7
+ INT((COLUMN()-COLUMN($B379))/3)
"),"#VALUE!")</f>
        <v>#VALUE!</v>
      </c>
      <c r="L379" s="81"/>
      <c r="M379" s="82"/>
      <c r="N379" s="77" t="str">
        <f ca="1">IFERROR(__xludf.DUMMYFUNCTION("DATE(VALUE(LEFT($B$2,4)),VALUE(MID($B$2,6,2)),VALUE(RIGHT($B$2,2)))
+ (VALUE(REGEXEXTRACT(INDIRECT(""A""&amp;ROW()+1),""\d+""))-1)*7
+ INT((COLUMN()-COLUMN($B379))/3)
"),"#VALUE!")</f>
        <v>#VALUE!</v>
      </c>
      <c r="O379" s="81"/>
      <c r="P379" s="82"/>
      <c r="Q379" s="77" t="str">
        <f ca="1">IFERROR(__xludf.DUMMYFUNCTION("DATE(VALUE(LEFT($B$2,4)),VALUE(MID($B$2,6,2)),VALUE(RIGHT($B$2,2)))
+ (VALUE(REGEXEXTRACT(INDIRECT(""A""&amp;ROW()+1),""\d+""))-1)*7
+ INT((COLUMN()-COLUMN($B379))/3)
"),"#VALUE!")</f>
        <v>#VALUE!</v>
      </c>
      <c r="R379" s="81"/>
      <c r="S379" s="82"/>
      <c r="T379" s="77" t="str">
        <f ca="1">IFERROR(__xludf.DUMMYFUNCTION("DATE(VALUE(LEFT($B$2,4)),VALUE(MID($B$2,6,2)),VALUE(RIGHT($B$2,2)))
+ (VALUE(REGEXEXTRACT(INDIRECT(""A""&amp;ROW()+1),""\d+""))-1)*7
+ INT((COLUMN()-COLUMN($B379))/3)
"),"#VALUE!")</f>
        <v>#VALUE!</v>
      </c>
      <c r="U379" s="81"/>
      <c r="V379" s="82"/>
      <c r="W379" s="52" t="s">
        <v>20</v>
      </c>
    </row>
    <row r="380" spans="1:23" ht="15.75" customHeight="1">
      <c r="A380" s="47" t="s">
        <v>161</v>
      </c>
      <c r="B380" s="113"/>
      <c r="C380" s="109"/>
      <c r="D380" s="50">
        <f>V378+C380</f>
        <v>-1460</v>
      </c>
      <c r="E380" s="112"/>
      <c r="F380" s="111"/>
      <c r="G380" s="17">
        <f>D390+F380</f>
        <v>-1460</v>
      </c>
      <c r="H380" s="132"/>
      <c r="I380" s="109"/>
      <c r="J380" s="42">
        <f>G390+I380</f>
        <v>-1460</v>
      </c>
      <c r="K380" s="112"/>
      <c r="L380" s="111"/>
      <c r="M380" s="18">
        <f>J390+L380</f>
        <v>-1460</v>
      </c>
      <c r="N380" s="113"/>
      <c r="O380" s="109"/>
      <c r="P380" s="35">
        <f>M390+O380</f>
        <v>-1460</v>
      </c>
      <c r="Q380" s="112"/>
      <c r="R380" s="111"/>
      <c r="S380" s="18">
        <f>P390+R380</f>
        <v>-1460</v>
      </c>
      <c r="T380" s="173"/>
      <c r="U380" s="173"/>
      <c r="V380" s="50">
        <f>S390+U380</f>
        <v>-1460</v>
      </c>
      <c r="W380" s="172"/>
    </row>
    <row r="381" spans="1:23" ht="15.75" customHeight="1">
      <c r="A381" s="114"/>
      <c r="B381" s="118"/>
      <c r="C381" s="117"/>
      <c r="D381" s="45">
        <f t="shared" ref="D381:D390" si="224">D380+C381</f>
        <v>-1460</v>
      </c>
      <c r="E381" s="106"/>
      <c r="F381" s="107"/>
      <c r="G381" s="26">
        <f t="shared" ref="G381:G390" si="225">G380+F381</f>
        <v>-1460</v>
      </c>
      <c r="H381" s="133"/>
      <c r="I381" s="117"/>
      <c r="J381" s="19">
        <f t="shared" ref="J381:J390" si="226">J380+I381</f>
        <v>-1460</v>
      </c>
      <c r="K381" s="106"/>
      <c r="L381" s="107"/>
      <c r="M381" s="26">
        <f t="shared" ref="M381:M390" si="227">M380+L381</f>
        <v>-1460</v>
      </c>
      <c r="N381" s="118"/>
      <c r="O381" s="117"/>
      <c r="P381" s="38">
        <f t="shared" ref="P381:P390" si="228">P380+O381</f>
        <v>-1460</v>
      </c>
      <c r="Q381" s="106"/>
      <c r="R381" s="107"/>
      <c r="S381" s="26">
        <f t="shared" ref="S381:S390" si="229">S380+R381</f>
        <v>-1460</v>
      </c>
      <c r="T381" s="136"/>
      <c r="U381" s="136"/>
      <c r="V381" s="45">
        <f t="shared" ref="V381:V390" si="230">V380+U381</f>
        <v>-1460</v>
      </c>
      <c r="W381" s="143"/>
    </row>
    <row r="382" spans="1:23" ht="15.75" customHeight="1">
      <c r="A382" s="114"/>
      <c r="B382" s="118"/>
      <c r="C382" s="117"/>
      <c r="D382" s="45">
        <f t="shared" si="224"/>
        <v>-1460</v>
      </c>
      <c r="E382" s="106"/>
      <c r="F382" s="107"/>
      <c r="G382" s="26">
        <f t="shared" si="225"/>
        <v>-1460</v>
      </c>
      <c r="H382" s="133"/>
      <c r="I382" s="117"/>
      <c r="J382" s="19">
        <f t="shared" si="226"/>
        <v>-1460</v>
      </c>
      <c r="K382" s="106"/>
      <c r="L382" s="107"/>
      <c r="M382" s="26">
        <f t="shared" si="227"/>
        <v>-1460</v>
      </c>
      <c r="N382" s="117"/>
      <c r="O382" s="117"/>
      <c r="P382" s="38">
        <f t="shared" si="228"/>
        <v>-1460</v>
      </c>
      <c r="Q382" s="106"/>
      <c r="R382" s="107"/>
      <c r="S382" s="26">
        <f t="shared" si="229"/>
        <v>-1460</v>
      </c>
      <c r="T382" s="136"/>
      <c r="U382" s="136"/>
      <c r="V382" s="45">
        <f t="shared" si="230"/>
        <v>-1460</v>
      </c>
      <c r="W382" s="143"/>
    </row>
    <row r="383" spans="1:23" ht="15.75" customHeight="1">
      <c r="A383" s="114"/>
      <c r="B383" s="118"/>
      <c r="C383" s="117"/>
      <c r="D383" s="45">
        <f t="shared" si="224"/>
        <v>-1460</v>
      </c>
      <c r="E383" s="106"/>
      <c r="F383" s="107"/>
      <c r="G383" s="26">
        <f t="shared" si="225"/>
        <v>-1460</v>
      </c>
      <c r="H383" s="117"/>
      <c r="I383" s="117"/>
      <c r="J383" s="19">
        <f t="shared" si="226"/>
        <v>-1460</v>
      </c>
      <c r="K383" s="106"/>
      <c r="L383" s="107"/>
      <c r="M383" s="26">
        <f t="shared" si="227"/>
        <v>-1460</v>
      </c>
      <c r="N383" s="117"/>
      <c r="O383" s="117"/>
      <c r="P383" s="38">
        <f t="shared" si="228"/>
        <v>-1460</v>
      </c>
      <c r="Q383" s="106"/>
      <c r="R383" s="107"/>
      <c r="S383" s="26">
        <f t="shared" si="229"/>
        <v>-1460</v>
      </c>
      <c r="T383" s="136"/>
      <c r="U383" s="136"/>
      <c r="V383" s="45">
        <f t="shared" si="230"/>
        <v>-1460</v>
      </c>
      <c r="W383" s="143"/>
    </row>
    <row r="384" spans="1:23" ht="15.75" customHeight="1">
      <c r="A384" s="114"/>
      <c r="B384" s="118"/>
      <c r="C384" s="117"/>
      <c r="D384" s="45">
        <f t="shared" si="224"/>
        <v>-1460</v>
      </c>
      <c r="E384" s="106"/>
      <c r="F384" s="107"/>
      <c r="G384" s="26">
        <f t="shared" si="225"/>
        <v>-1460</v>
      </c>
      <c r="H384" s="117"/>
      <c r="I384" s="117"/>
      <c r="J384" s="19">
        <f t="shared" si="226"/>
        <v>-1460</v>
      </c>
      <c r="K384" s="106"/>
      <c r="L384" s="107"/>
      <c r="M384" s="26">
        <f t="shared" si="227"/>
        <v>-1460</v>
      </c>
      <c r="N384" s="117"/>
      <c r="O384" s="117"/>
      <c r="P384" s="38">
        <f t="shared" si="228"/>
        <v>-1460</v>
      </c>
      <c r="Q384" s="106"/>
      <c r="R384" s="107"/>
      <c r="S384" s="26">
        <f t="shared" si="229"/>
        <v>-1460</v>
      </c>
      <c r="T384" s="136"/>
      <c r="U384" s="136"/>
      <c r="V384" s="45">
        <f t="shared" si="230"/>
        <v>-1460</v>
      </c>
      <c r="W384" s="143"/>
    </row>
    <row r="385" spans="1:23" ht="15.75" customHeight="1">
      <c r="A385" s="114"/>
      <c r="B385" s="118"/>
      <c r="C385" s="117"/>
      <c r="D385" s="45">
        <f t="shared" si="224"/>
        <v>-1460</v>
      </c>
      <c r="E385" s="106"/>
      <c r="F385" s="107"/>
      <c r="G385" s="26">
        <f t="shared" si="225"/>
        <v>-1460</v>
      </c>
      <c r="H385" s="117"/>
      <c r="I385" s="117"/>
      <c r="J385" s="19">
        <f t="shared" si="226"/>
        <v>-1460</v>
      </c>
      <c r="K385" s="106"/>
      <c r="L385" s="107"/>
      <c r="M385" s="26">
        <f t="shared" si="227"/>
        <v>-1460</v>
      </c>
      <c r="N385" s="117"/>
      <c r="O385" s="117"/>
      <c r="P385" s="38">
        <f t="shared" si="228"/>
        <v>-1460</v>
      </c>
      <c r="Q385" s="106"/>
      <c r="R385" s="107"/>
      <c r="S385" s="26">
        <f t="shared" si="229"/>
        <v>-1460</v>
      </c>
      <c r="T385" s="136"/>
      <c r="U385" s="136"/>
      <c r="V385" s="45">
        <f t="shared" si="230"/>
        <v>-1460</v>
      </c>
      <c r="W385" s="143"/>
    </row>
    <row r="386" spans="1:23" ht="15.75" customHeight="1">
      <c r="A386" s="114"/>
      <c r="B386" s="118"/>
      <c r="C386" s="117"/>
      <c r="D386" s="45">
        <f t="shared" si="224"/>
        <v>-1460</v>
      </c>
      <c r="E386" s="106"/>
      <c r="F386" s="107"/>
      <c r="G386" s="26">
        <f t="shared" si="225"/>
        <v>-1460</v>
      </c>
      <c r="H386" s="117"/>
      <c r="I386" s="117"/>
      <c r="J386" s="19">
        <f t="shared" si="226"/>
        <v>-1460</v>
      </c>
      <c r="K386" s="106"/>
      <c r="L386" s="107"/>
      <c r="M386" s="26">
        <f t="shared" si="227"/>
        <v>-1460</v>
      </c>
      <c r="N386" s="117"/>
      <c r="O386" s="117"/>
      <c r="P386" s="38">
        <f t="shared" si="228"/>
        <v>-1460</v>
      </c>
      <c r="Q386" s="106"/>
      <c r="R386" s="107"/>
      <c r="S386" s="26">
        <f t="shared" si="229"/>
        <v>-1460</v>
      </c>
      <c r="T386" s="136"/>
      <c r="U386" s="136"/>
      <c r="V386" s="45">
        <f t="shared" si="230"/>
        <v>-1460</v>
      </c>
      <c r="W386" s="143"/>
    </row>
    <row r="387" spans="1:23" ht="15.75" customHeight="1">
      <c r="A387" s="114"/>
      <c r="B387" s="117"/>
      <c r="C387" s="117"/>
      <c r="D387" s="45">
        <f t="shared" si="224"/>
        <v>-1460</v>
      </c>
      <c r="E387" s="106"/>
      <c r="F387" s="107"/>
      <c r="G387" s="26">
        <f t="shared" si="225"/>
        <v>-1460</v>
      </c>
      <c r="H387" s="117"/>
      <c r="I387" s="117"/>
      <c r="J387" s="19">
        <f t="shared" si="226"/>
        <v>-1460</v>
      </c>
      <c r="K387" s="106"/>
      <c r="L387" s="107"/>
      <c r="M387" s="26">
        <f t="shared" si="227"/>
        <v>-1460</v>
      </c>
      <c r="N387" s="117"/>
      <c r="O387" s="117"/>
      <c r="P387" s="38">
        <f t="shared" si="228"/>
        <v>-1460</v>
      </c>
      <c r="Q387" s="106"/>
      <c r="R387" s="107"/>
      <c r="S387" s="26">
        <f t="shared" si="229"/>
        <v>-1460</v>
      </c>
      <c r="T387" s="136"/>
      <c r="U387" s="136"/>
      <c r="V387" s="45">
        <f t="shared" si="230"/>
        <v>-1460</v>
      </c>
      <c r="W387" s="143"/>
    </row>
    <row r="388" spans="1:23" ht="15.75" customHeight="1">
      <c r="A388" s="114"/>
      <c r="B388" s="117"/>
      <c r="C388" s="117"/>
      <c r="D388" s="45">
        <f t="shared" si="224"/>
        <v>-1460</v>
      </c>
      <c r="E388" s="106"/>
      <c r="F388" s="107"/>
      <c r="G388" s="26">
        <f t="shared" si="225"/>
        <v>-1460</v>
      </c>
      <c r="H388" s="117"/>
      <c r="I388" s="117"/>
      <c r="J388" s="19">
        <f t="shared" si="226"/>
        <v>-1460</v>
      </c>
      <c r="K388" s="106"/>
      <c r="L388" s="107"/>
      <c r="M388" s="26">
        <f t="shared" si="227"/>
        <v>-1460</v>
      </c>
      <c r="N388" s="117"/>
      <c r="O388" s="117"/>
      <c r="P388" s="38">
        <f t="shared" si="228"/>
        <v>-1460</v>
      </c>
      <c r="Q388" s="106"/>
      <c r="R388" s="107"/>
      <c r="S388" s="26">
        <f t="shared" si="229"/>
        <v>-1460</v>
      </c>
      <c r="T388" s="136"/>
      <c r="U388" s="136"/>
      <c r="V388" s="45">
        <f t="shared" si="230"/>
        <v>-1460</v>
      </c>
      <c r="W388" s="143"/>
    </row>
    <row r="389" spans="1:23" ht="15.75" customHeight="1">
      <c r="A389" s="114"/>
      <c r="B389" s="117"/>
      <c r="C389" s="117"/>
      <c r="D389" s="45">
        <f t="shared" si="224"/>
        <v>-1460</v>
      </c>
      <c r="E389" s="122"/>
      <c r="F389" s="123"/>
      <c r="G389" s="26">
        <f t="shared" si="225"/>
        <v>-1460</v>
      </c>
      <c r="H389" s="133"/>
      <c r="I389" s="117"/>
      <c r="J389" s="19">
        <f t="shared" si="226"/>
        <v>-1460</v>
      </c>
      <c r="K389" s="122"/>
      <c r="L389" s="123"/>
      <c r="M389" s="26">
        <f t="shared" si="227"/>
        <v>-1460</v>
      </c>
      <c r="N389" s="117"/>
      <c r="O389" s="117"/>
      <c r="P389" s="38">
        <f t="shared" si="228"/>
        <v>-1460</v>
      </c>
      <c r="Q389" s="122"/>
      <c r="R389" s="123"/>
      <c r="S389" s="26">
        <f t="shared" si="229"/>
        <v>-1460</v>
      </c>
      <c r="T389" s="136"/>
      <c r="U389" s="136"/>
      <c r="V389" s="45">
        <f t="shared" si="230"/>
        <v>-1460</v>
      </c>
      <c r="W389" s="143"/>
    </row>
    <row r="390" spans="1:23" ht="15.75" customHeight="1">
      <c r="A390" s="114"/>
      <c r="B390" s="128"/>
      <c r="C390" s="128"/>
      <c r="D390" s="46">
        <f t="shared" si="224"/>
        <v>-1460</v>
      </c>
      <c r="E390" s="122"/>
      <c r="F390" s="123"/>
      <c r="G390" s="39">
        <f t="shared" si="225"/>
        <v>-1460</v>
      </c>
      <c r="H390" s="140"/>
      <c r="I390" s="128"/>
      <c r="J390" s="29">
        <f t="shared" si="226"/>
        <v>-1460</v>
      </c>
      <c r="K390" s="122"/>
      <c r="L390" s="123"/>
      <c r="M390" s="39">
        <f t="shared" si="227"/>
        <v>-1460</v>
      </c>
      <c r="N390" s="128"/>
      <c r="O390" s="128"/>
      <c r="P390" s="40">
        <f t="shared" si="228"/>
        <v>-1460</v>
      </c>
      <c r="Q390" s="122"/>
      <c r="R390" s="123"/>
      <c r="S390" s="39">
        <f t="shared" si="229"/>
        <v>-1460</v>
      </c>
      <c r="T390" s="141"/>
      <c r="U390" s="141"/>
      <c r="V390" s="46">
        <f t="shared" si="230"/>
        <v>-1460</v>
      </c>
      <c r="W390" s="143"/>
    </row>
    <row r="391" spans="1:23" ht="15.75" customHeight="1">
      <c r="A391" s="87"/>
      <c r="B391" s="77" t="str">
        <f ca="1">IFERROR(__xludf.DUMMYFUNCTION("DATE(VALUE(LEFT($B$2,4)),VALUE(MID($B$2,6,2)),VALUE(RIGHT($B$2,2)))
+ (VALUE(REGEXEXTRACT(INDIRECT(""A""&amp;ROW()+1),""\d+""))-1)*7
+ INT((COLUMN()-COLUMN($B391))/3)
"),"#VALUE!")</f>
        <v>#VALUE!</v>
      </c>
      <c r="C391" s="81"/>
      <c r="D391" s="82"/>
      <c r="E391" s="77" t="str">
        <f ca="1">IFERROR(__xludf.DUMMYFUNCTION("DATE(VALUE(LEFT($B$2,4)),VALUE(MID($B$2,6,2)),VALUE(RIGHT($B$2,2)))
+ (VALUE(REGEXEXTRACT(INDIRECT(""A""&amp;ROW()+1),""\d+""))-1)*7
+ INT((COLUMN()-COLUMN($B391))/3)
"),"#VALUE!")</f>
        <v>#VALUE!</v>
      </c>
      <c r="F391" s="81"/>
      <c r="G391" s="82"/>
      <c r="H391" s="77" t="str">
        <f ca="1">IFERROR(__xludf.DUMMYFUNCTION("DATE(VALUE(LEFT($B$2,4)),VALUE(MID($B$2,6,2)),VALUE(RIGHT($B$2,2)))
+ (VALUE(REGEXEXTRACT(INDIRECT(""A""&amp;ROW()+1),""\d+""))-1)*7
+ INT((COLUMN()-COLUMN($B391))/3)
"),"#VALUE!")</f>
        <v>#VALUE!</v>
      </c>
      <c r="I391" s="81"/>
      <c r="J391" s="82"/>
      <c r="K391" s="77" t="str">
        <f ca="1">IFERROR(__xludf.DUMMYFUNCTION("DATE(VALUE(LEFT($B$2,4)),VALUE(MID($B$2,6,2)),VALUE(RIGHT($B$2,2)))
+ (VALUE(REGEXEXTRACT(INDIRECT(""A""&amp;ROW()+1),""\d+""))-1)*7
+ INT((COLUMN()-COLUMN($B391))/3)
"),"#VALUE!")</f>
        <v>#VALUE!</v>
      </c>
      <c r="L391" s="81"/>
      <c r="M391" s="82"/>
      <c r="N391" s="77" t="str">
        <f ca="1">IFERROR(__xludf.DUMMYFUNCTION("DATE(VALUE(LEFT($B$2,4)),VALUE(MID($B$2,6,2)),VALUE(RIGHT($B$2,2)))
+ (VALUE(REGEXEXTRACT(INDIRECT(""A""&amp;ROW()+1),""\d+""))-1)*7
+ INT((COLUMN()-COLUMN($B391))/3)
"),"#VALUE!")</f>
        <v>#VALUE!</v>
      </c>
      <c r="O391" s="81"/>
      <c r="P391" s="82"/>
      <c r="Q391" s="77" t="str">
        <f ca="1">IFERROR(__xludf.DUMMYFUNCTION("DATE(VALUE(LEFT($B$2,4)),VALUE(MID($B$2,6,2)),VALUE(RIGHT($B$2,2)))
+ (VALUE(REGEXEXTRACT(INDIRECT(""A""&amp;ROW()+1),""\d+""))-1)*7
+ INT((COLUMN()-COLUMN($B391))/3)
"),"#VALUE!")</f>
        <v>#VALUE!</v>
      </c>
      <c r="R391" s="81"/>
      <c r="S391" s="82"/>
      <c r="T391" s="77" t="str">
        <f ca="1">IFERROR(__xludf.DUMMYFUNCTION("DATE(VALUE(LEFT($B$2,4)),VALUE(MID($B$2,6,2)),VALUE(RIGHT($B$2,2)))
+ (VALUE(REGEXEXTRACT(INDIRECT(""A""&amp;ROW()+1),""\d+""))-1)*7
+ INT((COLUMN()-COLUMN($B391))/3)
"),"#VALUE!")</f>
        <v>#VALUE!</v>
      </c>
      <c r="U391" s="81"/>
      <c r="V391" s="82"/>
      <c r="W391" s="143"/>
    </row>
    <row r="392" spans="1:23" ht="15.75" customHeight="1">
      <c r="A392" s="51" t="s">
        <v>162</v>
      </c>
      <c r="B392" s="112"/>
      <c r="C392" s="111"/>
      <c r="D392" s="48">
        <f>V390+C392</f>
        <v>-1460</v>
      </c>
      <c r="E392" s="113"/>
      <c r="F392" s="109"/>
      <c r="G392" s="42">
        <f>D402+F392</f>
        <v>-1460</v>
      </c>
      <c r="H392" s="110"/>
      <c r="I392" s="111"/>
      <c r="J392" s="17">
        <f>G402+I392</f>
        <v>-1460</v>
      </c>
      <c r="K392" s="109"/>
      <c r="L392" s="109"/>
      <c r="M392" s="35">
        <f>J402+L392</f>
        <v>-1460</v>
      </c>
      <c r="N392" s="112"/>
      <c r="O392" s="111"/>
      <c r="P392" s="17">
        <f>M402+O392</f>
        <v>-1460</v>
      </c>
      <c r="Q392" s="109"/>
      <c r="R392" s="109"/>
      <c r="S392" s="35">
        <f>P402+R392</f>
        <v>-1460</v>
      </c>
      <c r="T392" s="112"/>
      <c r="U392" s="111"/>
      <c r="V392" s="48">
        <f>S402+U392</f>
        <v>-1460</v>
      </c>
      <c r="W392" s="143"/>
    </row>
    <row r="393" spans="1:23" ht="15.75" customHeight="1">
      <c r="A393" s="114"/>
      <c r="B393" s="106"/>
      <c r="C393" s="107"/>
      <c r="D393" s="20">
        <f t="shared" ref="D393:D402" si="231">D392+C393</f>
        <v>-1460</v>
      </c>
      <c r="E393" s="118"/>
      <c r="F393" s="117"/>
      <c r="G393" s="19">
        <f t="shared" ref="G393:G402" si="232">G392+F393</f>
        <v>-1460</v>
      </c>
      <c r="H393" s="116"/>
      <c r="I393" s="107"/>
      <c r="J393" s="26">
        <f t="shared" ref="J393:J402" si="233">J392+I393</f>
        <v>-1460</v>
      </c>
      <c r="K393" s="117"/>
      <c r="L393" s="117"/>
      <c r="M393" s="38">
        <f t="shared" ref="M393:M402" si="234">M392+L393</f>
        <v>-1460</v>
      </c>
      <c r="N393" s="106"/>
      <c r="O393" s="107"/>
      <c r="P393" s="26">
        <f t="shared" ref="P393:P402" si="235">P392+O393</f>
        <v>-1460</v>
      </c>
      <c r="Q393" s="117"/>
      <c r="R393" s="117"/>
      <c r="S393" s="38">
        <f t="shared" ref="S393:S402" si="236">S392+R393</f>
        <v>-1460</v>
      </c>
      <c r="T393" s="106"/>
      <c r="U393" s="107"/>
      <c r="V393" s="20">
        <f t="shared" ref="V393:V402" si="237">V392+U393</f>
        <v>-1460</v>
      </c>
      <c r="W393" s="143"/>
    </row>
    <row r="394" spans="1:23" ht="15.75" customHeight="1">
      <c r="A394" s="114"/>
      <c r="B394" s="106"/>
      <c r="C394" s="107"/>
      <c r="D394" s="20">
        <f t="shared" si="231"/>
        <v>-1460</v>
      </c>
      <c r="E394" s="118"/>
      <c r="F394" s="117"/>
      <c r="G394" s="19">
        <f t="shared" si="232"/>
        <v>-1460</v>
      </c>
      <c r="H394" s="116"/>
      <c r="I394" s="107"/>
      <c r="J394" s="26">
        <f t="shared" si="233"/>
        <v>-1460</v>
      </c>
      <c r="K394" s="117"/>
      <c r="L394" s="117"/>
      <c r="M394" s="38">
        <f t="shared" si="234"/>
        <v>-1460</v>
      </c>
      <c r="N394" s="106"/>
      <c r="O394" s="107"/>
      <c r="P394" s="26">
        <f t="shared" si="235"/>
        <v>-1460</v>
      </c>
      <c r="Q394" s="117"/>
      <c r="R394" s="117"/>
      <c r="S394" s="38">
        <f t="shared" si="236"/>
        <v>-1460</v>
      </c>
      <c r="T394" s="106"/>
      <c r="U394" s="116"/>
      <c r="V394" s="20">
        <f t="shared" si="237"/>
        <v>-1460</v>
      </c>
      <c r="W394" s="143"/>
    </row>
    <row r="395" spans="1:23" ht="15.75" customHeight="1">
      <c r="A395" s="114"/>
      <c r="B395" s="106"/>
      <c r="C395" s="107"/>
      <c r="D395" s="20">
        <f t="shared" si="231"/>
        <v>-1460</v>
      </c>
      <c r="E395" s="118"/>
      <c r="F395" s="117"/>
      <c r="G395" s="19">
        <f t="shared" si="232"/>
        <v>-1460</v>
      </c>
      <c r="H395" s="116"/>
      <c r="I395" s="107"/>
      <c r="J395" s="26">
        <f t="shared" si="233"/>
        <v>-1460</v>
      </c>
      <c r="K395" s="117"/>
      <c r="L395" s="117"/>
      <c r="M395" s="38">
        <f t="shared" si="234"/>
        <v>-1460</v>
      </c>
      <c r="N395" s="106"/>
      <c r="O395" s="107"/>
      <c r="P395" s="26">
        <f t="shared" si="235"/>
        <v>-1460</v>
      </c>
      <c r="Q395" s="117"/>
      <c r="R395" s="117"/>
      <c r="S395" s="38">
        <f t="shared" si="236"/>
        <v>-1460</v>
      </c>
      <c r="T395" s="106"/>
      <c r="U395" s="116"/>
      <c r="V395" s="20">
        <f t="shared" si="237"/>
        <v>-1460</v>
      </c>
      <c r="W395" s="143"/>
    </row>
    <row r="396" spans="1:23" ht="15.75" customHeight="1">
      <c r="A396" s="114"/>
      <c r="B396" s="106"/>
      <c r="C396" s="107"/>
      <c r="D396" s="20">
        <f t="shared" si="231"/>
        <v>-1460</v>
      </c>
      <c r="E396" s="118"/>
      <c r="F396" s="117"/>
      <c r="G396" s="19">
        <f t="shared" si="232"/>
        <v>-1460</v>
      </c>
      <c r="H396" s="116"/>
      <c r="I396" s="107"/>
      <c r="J396" s="26">
        <f t="shared" si="233"/>
        <v>-1460</v>
      </c>
      <c r="K396" s="117"/>
      <c r="L396" s="117"/>
      <c r="M396" s="38">
        <f t="shared" si="234"/>
        <v>-1460</v>
      </c>
      <c r="N396" s="106"/>
      <c r="O396" s="107"/>
      <c r="P396" s="26">
        <f t="shared" si="235"/>
        <v>-1460</v>
      </c>
      <c r="Q396" s="117"/>
      <c r="R396" s="117"/>
      <c r="S396" s="38">
        <f t="shared" si="236"/>
        <v>-1460</v>
      </c>
      <c r="T396" s="106"/>
      <c r="U396" s="116"/>
      <c r="V396" s="20">
        <f t="shared" si="237"/>
        <v>-1460</v>
      </c>
      <c r="W396" s="143"/>
    </row>
    <row r="397" spans="1:23" ht="15.75" customHeight="1">
      <c r="A397" s="114"/>
      <c r="B397" s="106"/>
      <c r="C397" s="107"/>
      <c r="D397" s="20">
        <f t="shared" si="231"/>
        <v>-1460</v>
      </c>
      <c r="E397" s="118"/>
      <c r="F397" s="117"/>
      <c r="G397" s="19">
        <f t="shared" si="232"/>
        <v>-1460</v>
      </c>
      <c r="H397" s="116"/>
      <c r="I397" s="107"/>
      <c r="J397" s="26">
        <f t="shared" si="233"/>
        <v>-1460</v>
      </c>
      <c r="K397" s="117"/>
      <c r="L397" s="117"/>
      <c r="M397" s="38">
        <f t="shared" si="234"/>
        <v>-1460</v>
      </c>
      <c r="N397" s="106"/>
      <c r="O397" s="107"/>
      <c r="P397" s="26">
        <f t="shared" si="235"/>
        <v>-1460</v>
      </c>
      <c r="Q397" s="117"/>
      <c r="R397" s="117"/>
      <c r="S397" s="38">
        <f t="shared" si="236"/>
        <v>-1460</v>
      </c>
      <c r="T397" s="106"/>
      <c r="U397" s="116"/>
      <c r="V397" s="20">
        <f t="shared" si="237"/>
        <v>-1460</v>
      </c>
      <c r="W397" s="143"/>
    </row>
    <row r="398" spans="1:23" ht="15.75" customHeight="1">
      <c r="A398" s="114"/>
      <c r="B398" s="106"/>
      <c r="C398" s="107"/>
      <c r="D398" s="20">
        <f t="shared" si="231"/>
        <v>-1460</v>
      </c>
      <c r="E398" s="118"/>
      <c r="F398" s="117"/>
      <c r="G398" s="19">
        <f t="shared" si="232"/>
        <v>-1460</v>
      </c>
      <c r="H398" s="116"/>
      <c r="I398" s="107"/>
      <c r="J398" s="26">
        <f t="shared" si="233"/>
        <v>-1460</v>
      </c>
      <c r="K398" s="117"/>
      <c r="L398" s="117"/>
      <c r="M398" s="38">
        <f t="shared" si="234"/>
        <v>-1460</v>
      </c>
      <c r="N398" s="106"/>
      <c r="O398" s="107"/>
      <c r="P398" s="26">
        <f t="shared" si="235"/>
        <v>-1460</v>
      </c>
      <c r="Q398" s="117"/>
      <c r="R398" s="117"/>
      <c r="S398" s="38">
        <f t="shared" si="236"/>
        <v>-1460</v>
      </c>
      <c r="T398" s="106"/>
      <c r="U398" s="116"/>
      <c r="V398" s="20">
        <f t="shared" si="237"/>
        <v>-1460</v>
      </c>
      <c r="W398" s="143"/>
    </row>
    <row r="399" spans="1:23" ht="15.75" customHeight="1">
      <c r="A399" s="114"/>
      <c r="B399" s="106"/>
      <c r="C399" s="107"/>
      <c r="D399" s="20">
        <f t="shared" si="231"/>
        <v>-1460</v>
      </c>
      <c r="E399" s="118"/>
      <c r="F399" s="117"/>
      <c r="G399" s="19">
        <f t="shared" si="232"/>
        <v>-1460</v>
      </c>
      <c r="H399" s="116"/>
      <c r="I399" s="107"/>
      <c r="J399" s="26">
        <f t="shared" si="233"/>
        <v>-1460</v>
      </c>
      <c r="K399" s="117"/>
      <c r="L399" s="117"/>
      <c r="M399" s="38">
        <f t="shared" si="234"/>
        <v>-1460</v>
      </c>
      <c r="N399" s="106"/>
      <c r="O399" s="107"/>
      <c r="P399" s="26">
        <f t="shared" si="235"/>
        <v>-1460</v>
      </c>
      <c r="Q399" s="117"/>
      <c r="R399" s="117"/>
      <c r="S399" s="38">
        <f t="shared" si="236"/>
        <v>-1460</v>
      </c>
      <c r="T399" s="106"/>
      <c r="U399" s="116"/>
      <c r="V399" s="20">
        <f t="shared" si="237"/>
        <v>-1460</v>
      </c>
      <c r="W399" s="143"/>
    </row>
    <row r="400" spans="1:23" ht="15.75" customHeight="1">
      <c r="A400" s="114"/>
      <c r="B400" s="122"/>
      <c r="C400" s="123"/>
      <c r="D400" s="20">
        <f t="shared" si="231"/>
        <v>-1460</v>
      </c>
      <c r="E400" s="118"/>
      <c r="F400" s="117"/>
      <c r="G400" s="19">
        <f t="shared" si="232"/>
        <v>-1460</v>
      </c>
      <c r="H400" s="124"/>
      <c r="I400" s="123"/>
      <c r="J400" s="26">
        <f t="shared" si="233"/>
        <v>-1460</v>
      </c>
      <c r="K400" s="117"/>
      <c r="L400" s="117"/>
      <c r="M400" s="38">
        <f t="shared" si="234"/>
        <v>-1460</v>
      </c>
      <c r="N400" s="122"/>
      <c r="O400" s="123"/>
      <c r="P400" s="26">
        <f t="shared" si="235"/>
        <v>-1460</v>
      </c>
      <c r="Q400" s="117"/>
      <c r="R400" s="117"/>
      <c r="S400" s="38">
        <f t="shared" si="236"/>
        <v>-1460</v>
      </c>
      <c r="T400" s="106"/>
      <c r="U400" s="116"/>
      <c r="V400" s="20">
        <f t="shared" si="237"/>
        <v>-1460</v>
      </c>
      <c r="W400" s="143"/>
    </row>
    <row r="401" spans="1:23" ht="15.75" customHeight="1">
      <c r="A401" s="114"/>
      <c r="B401" s="122"/>
      <c r="C401" s="123"/>
      <c r="D401" s="20">
        <f t="shared" si="231"/>
        <v>-1460</v>
      </c>
      <c r="E401" s="118"/>
      <c r="F401" s="117"/>
      <c r="G401" s="19">
        <f t="shared" si="232"/>
        <v>-1460</v>
      </c>
      <c r="H401" s="124"/>
      <c r="I401" s="123"/>
      <c r="J401" s="26">
        <f t="shared" si="233"/>
        <v>-1460</v>
      </c>
      <c r="K401" s="117"/>
      <c r="L401" s="117"/>
      <c r="M401" s="38">
        <f t="shared" si="234"/>
        <v>-1460</v>
      </c>
      <c r="N401" s="122"/>
      <c r="O401" s="123"/>
      <c r="P401" s="26">
        <f t="shared" si="235"/>
        <v>-1460</v>
      </c>
      <c r="Q401" s="117"/>
      <c r="R401" s="117"/>
      <c r="S401" s="38">
        <f t="shared" si="236"/>
        <v>-1460</v>
      </c>
      <c r="T401" s="122"/>
      <c r="U401" s="124"/>
      <c r="V401" s="20">
        <f t="shared" si="237"/>
        <v>-1460</v>
      </c>
      <c r="W401" s="143"/>
    </row>
    <row r="402" spans="1:23" ht="15.75" customHeight="1">
      <c r="A402" s="114"/>
      <c r="B402" s="122"/>
      <c r="C402" s="123"/>
      <c r="D402" s="49">
        <f t="shared" si="231"/>
        <v>-1460</v>
      </c>
      <c r="E402" s="154"/>
      <c r="F402" s="128"/>
      <c r="G402" s="29">
        <f t="shared" si="232"/>
        <v>-1460</v>
      </c>
      <c r="H402" s="124"/>
      <c r="I402" s="123"/>
      <c r="J402" s="39">
        <f t="shared" si="233"/>
        <v>-1460</v>
      </c>
      <c r="K402" s="128"/>
      <c r="L402" s="128"/>
      <c r="M402" s="40">
        <f t="shared" si="234"/>
        <v>-1460</v>
      </c>
      <c r="N402" s="122"/>
      <c r="O402" s="123"/>
      <c r="P402" s="39">
        <f t="shared" si="235"/>
        <v>-1460</v>
      </c>
      <c r="Q402" s="128"/>
      <c r="R402" s="128"/>
      <c r="S402" s="40">
        <f t="shared" si="236"/>
        <v>-1460</v>
      </c>
      <c r="T402" s="122"/>
      <c r="U402" s="123"/>
      <c r="V402" s="49">
        <f t="shared" si="237"/>
        <v>-1460</v>
      </c>
      <c r="W402" s="143"/>
    </row>
    <row r="403" spans="1:23" ht="15.75" customHeight="1">
      <c r="A403" s="87"/>
      <c r="B403" s="77" t="str">
        <f ca="1">IFERROR(__xludf.DUMMYFUNCTION("DATE(VALUE(LEFT($B$2,4)),VALUE(MID($B$2,6,2)),VALUE(RIGHT($B$2,2)))
+ (VALUE(REGEXEXTRACT(INDIRECT(""A""&amp;ROW()+1),""\d+""))-1)*7
+ INT((COLUMN()-COLUMN($B403))/3)
"),"#VALUE!")</f>
        <v>#VALUE!</v>
      </c>
      <c r="C403" s="81"/>
      <c r="D403" s="82"/>
      <c r="E403" s="77" t="str">
        <f ca="1">IFERROR(__xludf.DUMMYFUNCTION("DATE(VALUE(LEFT($B$2,4)),VALUE(MID($B$2,6,2)),VALUE(RIGHT($B$2,2)))
+ (VALUE(REGEXEXTRACT(INDIRECT(""A""&amp;ROW()+1),""\d+""))-1)*7
+ INT((COLUMN()-COLUMN($B403))/3)
"),"#VALUE!")</f>
        <v>#VALUE!</v>
      </c>
      <c r="F403" s="81"/>
      <c r="G403" s="82"/>
      <c r="H403" s="77" t="str">
        <f ca="1">IFERROR(__xludf.DUMMYFUNCTION("DATE(VALUE(LEFT($B$2,4)),VALUE(MID($B$2,6,2)),VALUE(RIGHT($B$2,2)))
+ (VALUE(REGEXEXTRACT(INDIRECT(""A""&amp;ROW()+1),""\d+""))-1)*7
+ INT((COLUMN()-COLUMN($B403))/3)
"),"#VALUE!")</f>
        <v>#VALUE!</v>
      </c>
      <c r="I403" s="81"/>
      <c r="J403" s="82"/>
      <c r="K403" s="77" t="str">
        <f ca="1">IFERROR(__xludf.DUMMYFUNCTION("DATE(VALUE(LEFT($B$2,4)),VALUE(MID($B$2,6,2)),VALUE(RIGHT($B$2,2)))
+ (VALUE(REGEXEXTRACT(INDIRECT(""A""&amp;ROW()+1),""\d+""))-1)*7
+ INT((COLUMN()-COLUMN($B403))/3)
"),"#VALUE!")</f>
        <v>#VALUE!</v>
      </c>
      <c r="L403" s="81"/>
      <c r="M403" s="82"/>
      <c r="N403" s="77" t="str">
        <f ca="1">IFERROR(__xludf.DUMMYFUNCTION("DATE(VALUE(LEFT($B$2,4)),VALUE(MID($B$2,6,2)),VALUE(RIGHT($B$2,2)))
+ (VALUE(REGEXEXTRACT(INDIRECT(""A""&amp;ROW()+1),""\d+""))-1)*7
+ INT((COLUMN()-COLUMN($B403))/3)
"),"#VALUE!")</f>
        <v>#VALUE!</v>
      </c>
      <c r="O403" s="81"/>
      <c r="P403" s="82"/>
      <c r="Q403" s="77" t="str">
        <f ca="1">IFERROR(__xludf.DUMMYFUNCTION("DATE(VALUE(LEFT($B$2,4)),VALUE(MID($B$2,6,2)),VALUE(RIGHT($B$2,2)))
+ (VALUE(REGEXEXTRACT(INDIRECT(""A""&amp;ROW()+1),""\d+""))-1)*7
+ INT((COLUMN()-COLUMN($B403))/3)
"),"#VALUE!")</f>
        <v>#VALUE!</v>
      </c>
      <c r="R403" s="81"/>
      <c r="S403" s="82"/>
      <c r="T403" s="77" t="str">
        <f ca="1">IFERROR(__xludf.DUMMYFUNCTION("DATE(VALUE(LEFT($B$2,4)),VALUE(MID($B$2,6,2)),VALUE(RIGHT($B$2,2)))
+ (VALUE(REGEXEXTRACT(INDIRECT(""A""&amp;ROW()+1),""\d+""))-1)*7
+ INT((COLUMN()-COLUMN($B403))/3)
"),"#VALUE!")</f>
        <v>#VALUE!</v>
      </c>
      <c r="U403" s="81"/>
      <c r="V403" s="82"/>
      <c r="W403" s="52" t="s">
        <v>20</v>
      </c>
    </row>
    <row r="404" spans="1:23" ht="15.75" customHeight="1">
      <c r="A404" s="47" t="s">
        <v>163</v>
      </c>
      <c r="B404" s="113"/>
      <c r="C404" s="109"/>
      <c r="D404" s="50">
        <f>V402+C404</f>
        <v>-1460</v>
      </c>
      <c r="E404" s="112"/>
      <c r="F404" s="111"/>
      <c r="G404" s="17">
        <f>D414+F404</f>
        <v>-1460</v>
      </c>
      <c r="H404" s="132"/>
      <c r="I404" s="109"/>
      <c r="J404" s="42">
        <f>G414+I404</f>
        <v>-1460</v>
      </c>
      <c r="K404" s="112"/>
      <c r="L404" s="111"/>
      <c r="M404" s="18">
        <f>J414+L404</f>
        <v>-1460</v>
      </c>
      <c r="N404" s="113"/>
      <c r="O404" s="109"/>
      <c r="P404" s="35">
        <f>M414+O404</f>
        <v>-1460</v>
      </c>
      <c r="Q404" s="112"/>
      <c r="R404" s="111"/>
      <c r="S404" s="18">
        <f>P414+R404</f>
        <v>-1460</v>
      </c>
      <c r="T404" s="173"/>
      <c r="U404" s="173"/>
      <c r="V404" s="50">
        <f>S414+U404</f>
        <v>-1460</v>
      </c>
      <c r="W404" s="172"/>
    </row>
    <row r="405" spans="1:23" ht="15.75" customHeight="1">
      <c r="A405" s="114"/>
      <c r="B405" s="118"/>
      <c r="C405" s="117"/>
      <c r="D405" s="45">
        <f t="shared" ref="D405:D414" si="238">D404+C405</f>
        <v>-1460</v>
      </c>
      <c r="E405" s="106"/>
      <c r="F405" s="107"/>
      <c r="G405" s="26">
        <f t="shared" ref="G405:G414" si="239">G404+F405</f>
        <v>-1460</v>
      </c>
      <c r="H405" s="133"/>
      <c r="I405" s="117"/>
      <c r="J405" s="19">
        <f t="shared" ref="J405:J414" si="240">J404+I405</f>
        <v>-1460</v>
      </c>
      <c r="K405" s="106"/>
      <c r="L405" s="107"/>
      <c r="M405" s="26">
        <f t="shared" ref="M405:M414" si="241">M404+L405</f>
        <v>-1460</v>
      </c>
      <c r="N405" s="118"/>
      <c r="O405" s="117"/>
      <c r="P405" s="38">
        <f t="shared" ref="P405:P414" si="242">P404+O405</f>
        <v>-1460</v>
      </c>
      <c r="Q405" s="106"/>
      <c r="R405" s="107"/>
      <c r="S405" s="26">
        <f t="shared" ref="S405:S414" si="243">S404+R405</f>
        <v>-1460</v>
      </c>
      <c r="T405" s="136"/>
      <c r="U405" s="136"/>
      <c r="V405" s="45">
        <f t="shared" ref="V405:V414" si="244">V404+U405</f>
        <v>-1460</v>
      </c>
      <c r="W405" s="143"/>
    </row>
    <row r="406" spans="1:23" ht="15.75" customHeight="1">
      <c r="A406" s="114"/>
      <c r="B406" s="118"/>
      <c r="C406" s="117"/>
      <c r="D406" s="45">
        <f t="shared" si="238"/>
        <v>-1460</v>
      </c>
      <c r="E406" s="106"/>
      <c r="F406" s="107"/>
      <c r="G406" s="26">
        <f t="shared" si="239"/>
        <v>-1460</v>
      </c>
      <c r="H406" s="133"/>
      <c r="I406" s="117"/>
      <c r="J406" s="19">
        <f t="shared" si="240"/>
        <v>-1460</v>
      </c>
      <c r="K406" s="106"/>
      <c r="L406" s="107"/>
      <c r="M406" s="26">
        <f t="shared" si="241"/>
        <v>-1460</v>
      </c>
      <c r="N406" s="117"/>
      <c r="O406" s="117"/>
      <c r="P406" s="38">
        <f t="shared" si="242"/>
        <v>-1460</v>
      </c>
      <c r="Q406" s="106"/>
      <c r="R406" s="107"/>
      <c r="S406" s="26">
        <f t="shared" si="243"/>
        <v>-1460</v>
      </c>
      <c r="T406" s="136"/>
      <c r="U406" s="136"/>
      <c r="V406" s="45">
        <f t="shared" si="244"/>
        <v>-1460</v>
      </c>
      <c r="W406" s="143"/>
    </row>
    <row r="407" spans="1:23" ht="15.75" customHeight="1">
      <c r="A407" s="114"/>
      <c r="B407" s="118"/>
      <c r="C407" s="117"/>
      <c r="D407" s="45">
        <f t="shared" si="238"/>
        <v>-1460</v>
      </c>
      <c r="E407" s="106"/>
      <c r="F407" s="107"/>
      <c r="G407" s="26">
        <f t="shared" si="239"/>
        <v>-1460</v>
      </c>
      <c r="H407" s="133"/>
      <c r="I407" s="117"/>
      <c r="J407" s="19">
        <f t="shared" si="240"/>
        <v>-1460</v>
      </c>
      <c r="K407" s="106"/>
      <c r="L407" s="107"/>
      <c r="M407" s="26">
        <f t="shared" si="241"/>
        <v>-1460</v>
      </c>
      <c r="N407" s="117"/>
      <c r="O407" s="117"/>
      <c r="P407" s="38">
        <f t="shared" si="242"/>
        <v>-1460</v>
      </c>
      <c r="Q407" s="106"/>
      <c r="R407" s="107"/>
      <c r="S407" s="26">
        <f t="shared" si="243"/>
        <v>-1460</v>
      </c>
      <c r="T407" s="136"/>
      <c r="U407" s="136"/>
      <c r="V407" s="45">
        <f t="shared" si="244"/>
        <v>-1460</v>
      </c>
      <c r="W407" s="143"/>
    </row>
    <row r="408" spans="1:23" ht="15.75" customHeight="1">
      <c r="A408" s="114"/>
      <c r="B408" s="118"/>
      <c r="C408" s="117"/>
      <c r="D408" s="45">
        <f t="shared" si="238"/>
        <v>-1460</v>
      </c>
      <c r="E408" s="106"/>
      <c r="F408" s="107"/>
      <c r="G408" s="26">
        <f t="shared" si="239"/>
        <v>-1460</v>
      </c>
      <c r="H408" s="133"/>
      <c r="I408" s="117"/>
      <c r="J408" s="19">
        <f t="shared" si="240"/>
        <v>-1460</v>
      </c>
      <c r="K408" s="106"/>
      <c r="L408" s="107"/>
      <c r="M408" s="26">
        <f t="shared" si="241"/>
        <v>-1460</v>
      </c>
      <c r="N408" s="117"/>
      <c r="O408" s="117"/>
      <c r="P408" s="38">
        <f t="shared" si="242"/>
        <v>-1460</v>
      </c>
      <c r="Q408" s="106"/>
      <c r="R408" s="107"/>
      <c r="S408" s="26">
        <f t="shared" si="243"/>
        <v>-1460</v>
      </c>
      <c r="T408" s="136"/>
      <c r="U408" s="136"/>
      <c r="V408" s="45">
        <f t="shared" si="244"/>
        <v>-1460</v>
      </c>
      <c r="W408" s="143"/>
    </row>
    <row r="409" spans="1:23" ht="15.75" customHeight="1">
      <c r="A409" s="114"/>
      <c r="B409" s="118"/>
      <c r="C409" s="117"/>
      <c r="D409" s="45">
        <f t="shared" si="238"/>
        <v>-1460</v>
      </c>
      <c r="E409" s="106"/>
      <c r="F409" s="107"/>
      <c r="G409" s="26">
        <f t="shared" si="239"/>
        <v>-1460</v>
      </c>
      <c r="H409" s="133"/>
      <c r="I409" s="117"/>
      <c r="J409" s="19">
        <f t="shared" si="240"/>
        <v>-1460</v>
      </c>
      <c r="K409" s="106"/>
      <c r="L409" s="107"/>
      <c r="M409" s="26">
        <f t="shared" si="241"/>
        <v>-1460</v>
      </c>
      <c r="N409" s="117"/>
      <c r="O409" s="117"/>
      <c r="P409" s="38">
        <f t="shared" si="242"/>
        <v>-1460</v>
      </c>
      <c r="Q409" s="106"/>
      <c r="R409" s="107"/>
      <c r="S409" s="26">
        <f t="shared" si="243"/>
        <v>-1460</v>
      </c>
      <c r="T409" s="136"/>
      <c r="U409" s="136"/>
      <c r="V409" s="45">
        <f t="shared" si="244"/>
        <v>-1460</v>
      </c>
      <c r="W409" s="143"/>
    </row>
    <row r="410" spans="1:23" ht="15.75" customHeight="1">
      <c r="A410" s="114"/>
      <c r="B410" s="117"/>
      <c r="C410" s="117"/>
      <c r="D410" s="45">
        <f t="shared" si="238"/>
        <v>-1460</v>
      </c>
      <c r="E410" s="106"/>
      <c r="F410" s="107"/>
      <c r="G410" s="26">
        <f t="shared" si="239"/>
        <v>-1460</v>
      </c>
      <c r="H410" s="133"/>
      <c r="I410" s="117"/>
      <c r="J410" s="19">
        <f t="shared" si="240"/>
        <v>-1460</v>
      </c>
      <c r="K410" s="106"/>
      <c r="L410" s="107"/>
      <c r="M410" s="26">
        <f t="shared" si="241"/>
        <v>-1460</v>
      </c>
      <c r="N410" s="117"/>
      <c r="O410" s="117"/>
      <c r="P410" s="38">
        <f t="shared" si="242"/>
        <v>-1460</v>
      </c>
      <c r="Q410" s="106"/>
      <c r="R410" s="107"/>
      <c r="S410" s="26">
        <f t="shared" si="243"/>
        <v>-1460</v>
      </c>
      <c r="T410" s="136"/>
      <c r="U410" s="136"/>
      <c r="V410" s="45">
        <f t="shared" si="244"/>
        <v>-1460</v>
      </c>
      <c r="W410" s="143"/>
    </row>
    <row r="411" spans="1:23" ht="15.75" customHeight="1">
      <c r="A411" s="114"/>
      <c r="B411" s="117"/>
      <c r="C411" s="117"/>
      <c r="D411" s="45">
        <f t="shared" si="238"/>
        <v>-1460</v>
      </c>
      <c r="E411" s="106"/>
      <c r="F411" s="107"/>
      <c r="G411" s="26">
        <f t="shared" si="239"/>
        <v>-1460</v>
      </c>
      <c r="H411" s="133"/>
      <c r="I411" s="117"/>
      <c r="J411" s="19">
        <f t="shared" si="240"/>
        <v>-1460</v>
      </c>
      <c r="K411" s="106"/>
      <c r="L411" s="107"/>
      <c r="M411" s="26">
        <f t="shared" si="241"/>
        <v>-1460</v>
      </c>
      <c r="N411" s="117"/>
      <c r="O411" s="117"/>
      <c r="P411" s="38">
        <f t="shared" si="242"/>
        <v>-1460</v>
      </c>
      <c r="Q411" s="106"/>
      <c r="R411" s="107"/>
      <c r="S411" s="26">
        <f t="shared" si="243"/>
        <v>-1460</v>
      </c>
      <c r="T411" s="136"/>
      <c r="U411" s="136"/>
      <c r="V411" s="45">
        <f t="shared" si="244"/>
        <v>-1460</v>
      </c>
      <c r="W411" s="143"/>
    </row>
    <row r="412" spans="1:23" ht="15.75" customHeight="1">
      <c r="A412" s="114"/>
      <c r="B412" s="117"/>
      <c r="C412" s="117"/>
      <c r="D412" s="45">
        <f t="shared" si="238"/>
        <v>-1460</v>
      </c>
      <c r="E412" s="106"/>
      <c r="F412" s="107"/>
      <c r="G412" s="26">
        <f t="shared" si="239"/>
        <v>-1460</v>
      </c>
      <c r="H412" s="133"/>
      <c r="I412" s="117"/>
      <c r="J412" s="19">
        <f t="shared" si="240"/>
        <v>-1460</v>
      </c>
      <c r="K412" s="106"/>
      <c r="L412" s="107"/>
      <c r="M412" s="26">
        <f t="shared" si="241"/>
        <v>-1460</v>
      </c>
      <c r="N412" s="117"/>
      <c r="O412" s="117"/>
      <c r="P412" s="38">
        <f t="shared" si="242"/>
        <v>-1460</v>
      </c>
      <c r="Q412" s="106"/>
      <c r="R412" s="107"/>
      <c r="S412" s="26">
        <f t="shared" si="243"/>
        <v>-1460</v>
      </c>
      <c r="T412" s="136"/>
      <c r="U412" s="136"/>
      <c r="V412" s="45">
        <f t="shared" si="244"/>
        <v>-1460</v>
      </c>
      <c r="W412" s="143"/>
    </row>
    <row r="413" spans="1:23" ht="15.75" customHeight="1">
      <c r="A413" s="114"/>
      <c r="B413" s="117"/>
      <c r="C413" s="117"/>
      <c r="D413" s="45">
        <f t="shared" si="238"/>
        <v>-1460</v>
      </c>
      <c r="E413" s="122"/>
      <c r="F413" s="123"/>
      <c r="G413" s="26">
        <f t="shared" si="239"/>
        <v>-1460</v>
      </c>
      <c r="H413" s="133"/>
      <c r="I413" s="117"/>
      <c r="J413" s="19">
        <f t="shared" si="240"/>
        <v>-1460</v>
      </c>
      <c r="K413" s="122"/>
      <c r="L413" s="123"/>
      <c r="M413" s="26">
        <f t="shared" si="241"/>
        <v>-1460</v>
      </c>
      <c r="N413" s="117"/>
      <c r="O413" s="117"/>
      <c r="P413" s="38">
        <f t="shared" si="242"/>
        <v>-1460</v>
      </c>
      <c r="Q413" s="122"/>
      <c r="R413" s="123"/>
      <c r="S413" s="26">
        <f t="shared" si="243"/>
        <v>-1460</v>
      </c>
      <c r="T413" s="136"/>
      <c r="U413" s="136"/>
      <c r="V413" s="45">
        <f t="shared" si="244"/>
        <v>-1460</v>
      </c>
      <c r="W413" s="143"/>
    </row>
    <row r="414" spans="1:23" ht="15.75" customHeight="1">
      <c r="A414" s="114"/>
      <c r="B414" s="128"/>
      <c r="C414" s="128"/>
      <c r="D414" s="46">
        <f t="shared" si="238"/>
        <v>-1460</v>
      </c>
      <c r="E414" s="122"/>
      <c r="F414" s="123"/>
      <c r="G414" s="39">
        <f t="shared" si="239"/>
        <v>-1460</v>
      </c>
      <c r="H414" s="140"/>
      <c r="I414" s="128"/>
      <c r="J414" s="29">
        <f t="shared" si="240"/>
        <v>-1460</v>
      </c>
      <c r="K414" s="122"/>
      <c r="L414" s="123"/>
      <c r="M414" s="39">
        <f t="shared" si="241"/>
        <v>-1460</v>
      </c>
      <c r="N414" s="128"/>
      <c r="O414" s="128"/>
      <c r="P414" s="40">
        <f t="shared" si="242"/>
        <v>-1460</v>
      </c>
      <c r="Q414" s="122"/>
      <c r="R414" s="123"/>
      <c r="S414" s="39">
        <f t="shared" si="243"/>
        <v>-1460</v>
      </c>
      <c r="T414" s="141"/>
      <c r="U414" s="141"/>
      <c r="V414" s="46">
        <f t="shared" si="244"/>
        <v>-1460</v>
      </c>
      <c r="W414" s="143"/>
    </row>
    <row r="415" spans="1:23" ht="15.75" customHeight="1">
      <c r="A415" s="87"/>
      <c r="B415" s="77" t="str">
        <f ca="1">IFERROR(__xludf.DUMMYFUNCTION("DATE(VALUE(LEFT($B$2,4)),VALUE(MID($B$2,6,2)),VALUE(RIGHT($B$2,2)))
+ (VALUE(REGEXEXTRACT(INDIRECT(""A""&amp;ROW()+1),""\d+""))-1)*7
+ INT((COLUMN()-COLUMN($B415))/3)
"),"#VALUE!")</f>
        <v>#VALUE!</v>
      </c>
      <c r="C415" s="81"/>
      <c r="D415" s="82"/>
      <c r="E415" s="77" t="str">
        <f ca="1">IFERROR(__xludf.DUMMYFUNCTION("DATE(VALUE(LEFT($B$2,4)),VALUE(MID($B$2,6,2)),VALUE(RIGHT($B$2,2)))
+ (VALUE(REGEXEXTRACT(INDIRECT(""A""&amp;ROW()+1),""\d+""))-1)*7
+ INT((COLUMN()-COLUMN($B415))/3)
"),"#VALUE!")</f>
        <v>#VALUE!</v>
      </c>
      <c r="F415" s="81"/>
      <c r="G415" s="82"/>
      <c r="H415" s="77" t="str">
        <f ca="1">IFERROR(__xludf.DUMMYFUNCTION("DATE(VALUE(LEFT($B$2,4)),VALUE(MID($B$2,6,2)),VALUE(RIGHT($B$2,2)))
+ (VALUE(REGEXEXTRACT(INDIRECT(""A""&amp;ROW()+1),""\d+""))-1)*7
+ INT((COLUMN()-COLUMN($B415))/3)
"),"#VALUE!")</f>
        <v>#VALUE!</v>
      </c>
      <c r="I415" s="81"/>
      <c r="J415" s="82"/>
      <c r="K415" s="77" t="str">
        <f ca="1">IFERROR(__xludf.DUMMYFUNCTION("DATE(VALUE(LEFT($B$2,4)),VALUE(MID($B$2,6,2)),VALUE(RIGHT($B$2,2)))
+ (VALUE(REGEXEXTRACT(INDIRECT(""A""&amp;ROW()+1),""\d+""))-1)*7
+ INT((COLUMN()-COLUMN($B415))/3)
"),"#VALUE!")</f>
        <v>#VALUE!</v>
      </c>
      <c r="L415" s="81"/>
      <c r="M415" s="82"/>
      <c r="N415" s="77" t="str">
        <f ca="1">IFERROR(__xludf.DUMMYFUNCTION("DATE(VALUE(LEFT($B$2,4)),VALUE(MID($B$2,6,2)),VALUE(RIGHT($B$2,2)))
+ (VALUE(REGEXEXTRACT(INDIRECT(""A""&amp;ROW()+1),""\d+""))-1)*7
+ INT((COLUMN()-COLUMN($B415))/3)
"),"#VALUE!")</f>
        <v>#VALUE!</v>
      </c>
      <c r="O415" s="81"/>
      <c r="P415" s="82"/>
      <c r="Q415" s="77" t="str">
        <f ca="1">IFERROR(__xludf.DUMMYFUNCTION("DATE(VALUE(LEFT($B$2,4)),VALUE(MID($B$2,6,2)),VALUE(RIGHT($B$2,2)))
+ (VALUE(REGEXEXTRACT(INDIRECT(""A""&amp;ROW()+1),""\d+""))-1)*7
+ INT((COLUMN()-COLUMN($B415))/3)
"),"#VALUE!")</f>
        <v>#VALUE!</v>
      </c>
      <c r="R415" s="81"/>
      <c r="S415" s="82"/>
      <c r="T415" s="77" t="str">
        <f ca="1">IFERROR(__xludf.DUMMYFUNCTION("DATE(VALUE(LEFT($B$2,4)),VALUE(MID($B$2,6,2)),VALUE(RIGHT($B$2,2)))
+ (VALUE(REGEXEXTRACT(INDIRECT(""A""&amp;ROW()+1),""\d+""))-1)*7
+ INT((COLUMN()-COLUMN($B415))/3)
"),"#VALUE!")</f>
        <v>#VALUE!</v>
      </c>
      <c r="U415" s="81"/>
      <c r="V415" s="82"/>
      <c r="W415" s="143"/>
    </row>
    <row r="416" spans="1:23" ht="15.75" customHeight="1">
      <c r="A416" s="51" t="s">
        <v>164</v>
      </c>
      <c r="B416" s="112"/>
      <c r="C416" s="111"/>
      <c r="D416" s="17">
        <f>V414+C416</f>
        <v>-1460</v>
      </c>
      <c r="E416" s="109"/>
      <c r="F416" s="109"/>
      <c r="G416" s="42">
        <f>D426+F416</f>
        <v>-1460</v>
      </c>
      <c r="H416" s="112"/>
      <c r="I416" s="111"/>
      <c r="J416" s="17">
        <f>G426+I416</f>
        <v>-1460</v>
      </c>
      <c r="K416" s="109"/>
      <c r="L416" s="109"/>
      <c r="M416" s="35">
        <f>J426+L416</f>
        <v>-1460</v>
      </c>
      <c r="N416" s="112"/>
      <c r="O416" s="111"/>
      <c r="P416" s="17">
        <f>M426+O416</f>
        <v>-1460</v>
      </c>
      <c r="Q416" s="109"/>
      <c r="R416" s="109"/>
      <c r="S416" s="35">
        <f>P426+R416</f>
        <v>-1460</v>
      </c>
      <c r="T416" s="112"/>
      <c r="U416" s="111"/>
      <c r="V416" s="48">
        <f>S426+U416</f>
        <v>-1460</v>
      </c>
      <c r="W416" s="143"/>
    </row>
    <row r="417" spans="1:23" ht="15.75" customHeight="1">
      <c r="A417" s="114"/>
      <c r="B417" s="106"/>
      <c r="C417" s="107"/>
      <c r="D417" s="26">
        <f t="shared" ref="D417:D426" si="245">D416+C417</f>
        <v>-1460</v>
      </c>
      <c r="E417" s="117"/>
      <c r="F417" s="117"/>
      <c r="G417" s="19">
        <f t="shared" ref="G417:G426" si="246">G416+F417</f>
        <v>-1460</v>
      </c>
      <c r="H417" s="106"/>
      <c r="I417" s="107"/>
      <c r="J417" s="26">
        <f t="shared" ref="J417:J426" si="247">J416+I417</f>
        <v>-1460</v>
      </c>
      <c r="K417" s="117"/>
      <c r="L417" s="117"/>
      <c r="M417" s="38">
        <f t="shared" ref="M417:M426" si="248">M416+L417</f>
        <v>-1460</v>
      </c>
      <c r="N417" s="106"/>
      <c r="O417" s="107"/>
      <c r="P417" s="26">
        <f t="shared" ref="P417:P426" si="249">P416+O417</f>
        <v>-1460</v>
      </c>
      <c r="Q417" s="117"/>
      <c r="R417" s="117"/>
      <c r="S417" s="38">
        <f t="shared" ref="S417:S426" si="250">S416+R417</f>
        <v>-1460</v>
      </c>
      <c r="T417" s="106"/>
      <c r="U417" s="107"/>
      <c r="V417" s="20">
        <f t="shared" ref="V417:V426" si="251">V416+U417</f>
        <v>-1460</v>
      </c>
      <c r="W417" s="143"/>
    </row>
    <row r="418" spans="1:23" ht="15.75" customHeight="1">
      <c r="A418" s="114"/>
      <c r="B418" s="106"/>
      <c r="C418" s="107"/>
      <c r="D418" s="26">
        <f t="shared" si="245"/>
        <v>-1460</v>
      </c>
      <c r="E418" s="117"/>
      <c r="F418" s="117"/>
      <c r="G418" s="19">
        <f t="shared" si="246"/>
        <v>-1460</v>
      </c>
      <c r="H418" s="106"/>
      <c r="I418" s="107"/>
      <c r="J418" s="26">
        <f t="shared" si="247"/>
        <v>-1460</v>
      </c>
      <c r="K418" s="117"/>
      <c r="L418" s="117"/>
      <c r="M418" s="38">
        <f t="shared" si="248"/>
        <v>-1460</v>
      </c>
      <c r="N418" s="106"/>
      <c r="O418" s="107"/>
      <c r="P418" s="26">
        <f t="shared" si="249"/>
        <v>-1460</v>
      </c>
      <c r="Q418" s="117"/>
      <c r="R418" s="117"/>
      <c r="S418" s="38">
        <f t="shared" si="250"/>
        <v>-1460</v>
      </c>
      <c r="T418" s="106"/>
      <c r="U418" s="116"/>
      <c r="V418" s="20">
        <f t="shared" si="251"/>
        <v>-1460</v>
      </c>
      <c r="W418" s="143"/>
    </row>
    <row r="419" spans="1:23" ht="15.75" customHeight="1">
      <c r="A419" s="114"/>
      <c r="B419" s="106"/>
      <c r="C419" s="107"/>
      <c r="D419" s="26">
        <f t="shared" si="245"/>
        <v>-1460</v>
      </c>
      <c r="E419" s="117"/>
      <c r="F419" s="117"/>
      <c r="G419" s="19">
        <f t="shared" si="246"/>
        <v>-1460</v>
      </c>
      <c r="H419" s="106"/>
      <c r="I419" s="107"/>
      <c r="J419" s="26">
        <f t="shared" si="247"/>
        <v>-1460</v>
      </c>
      <c r="K419" s="117"/>
      <c r="L419" s="117"/>
      <c r="M419" s="38">
        <f t="shared" si="248"/>
        <v>-1460</v>
      </c>
      <c r="N419" s="106"/>
      <c r="O419" s="107"/>
      <c r="P419" s="26">
        <f t="shared" si="249"/>
        <v>-1460</v>
      </c>
      <c r="Q419" s="117"/>
      <c r="R419" s="117"/>
      <c r="S419" s="38">
        <f t="shared" si="250"/>
        <v>-1460</v>
      </c>
      <c r="T419" s="106"/>
      <c r="U419" s="116"/>
      <c r="V419" s="20">
        <f t="shared" si="251"/>
        <v>-1460</v>
      </c>
      <c r="W419" s="143"/>
    </row>
    <row r="420" spans="1:23" ht="15.75" customHeight="1">
      <c r="A420" s="114"/>
      <c r="B420" s="106"/>
      <c r="C420" s="107"/>
      <c r="D420" s="26">
        <f t="shared" si="245"/>
        <v>-1460</v>
      </c>
      <c r="E420" s="117"/>
      <c r="F420" s="117"/>
      <c r="G420" s="19">
        <f t="shared" si="246"/>
        <v>-1460</v>
      </c>
      <c r="H420" s="106"/>
      <c r="I420" s="107"/>
      <c r="J420" s="26">
        <f t="shared" si="247"/>
        <v>-1460</v>
      </c>
      <c r="K420" s="117"/>
      <c r="L420" s="117"/>
      <c r="M420" s="38">
        <f t="shared" si="248"/>
        <v>-1460</v>
      </c>
      <c r="N420" s="106"/>
      <c r="O420" s="107"/>
      <c r="P420" s="26">
        <f t="shared" si="249"/>
        <v>-1460</v>
      </c>
      <c r="Q420" s="117"/>
      <c r="R420" s="117"/>
      <c r="S420" s="38">
        <f t="shared" si="250"/>
        <v>-1460</v>
      </c>
      <c r="T420" s="106"/>
      <c r="U420" s="116"/>
      <c r="V420" s="20">
        <f t="shared" si="251"/>
        <v>-1460</v>
      </c>
      <c r="W420" s="143"/>
    </row>
    <row r="421" spans="1:23" ht="15.75" customHeight="1">
      <c r="A421" s="114"/>
      <c r="B421" s="106"/>
      <c r="C421" s="107"/>
      <c r="D421" s="26">
        <f t="shared" si="245"/>
        <v>-1460</v>
      </c>
      <c r="E421" s="117"/>
      <c r="F421" s="117"/>
      <c r="G421" s="19">
        <f t="shared" si="246"/>
        <v>-1460</v>
      </c>
      <c r="H421" s="106"/>
      <c r="I421" s="107"/>
      <c r="J421" s="26">
        <f t="shared" si="247"/>
        <v>-1460</v>
      </c>
      <c r="K421" s="117"/>
      <c r="L421" s="117"/>
      <c r="M421" s="38">
        <f t="shared" si="248"/>
        <v>-1460</v>
      </c>
      <c r="N421" s="106"/>
      <c r="O421" s="107"/>
      <c r="P421" s="26">
        <f t="shared" si="249"/>
        <v>-1460</v>
      </c>
      <c r="Q421" s="117"/>
      <c r="R421" s="117"/>
      <c r="S421" s="38">
        <f t="shared" si="250"/>
        <v>-1460</v>
      </c>
      <c r="T421" s="106"/>
      <c r="U421" s="116"/>
      <c r="V421" s="20">
        <f t="shared" si="251"/>
        <v>-1460</v>
      </c>
      <c r="W421" s="143"/>
    </row>
    <row r="422" spans="1:23" ht="15.75" customHeight="1">
      <c r="A422" s="114"/>
      <c r="B422" s="106"/>
      <c r="C422" s="107"/>
      <c r="D422" s="26">
        <f t="shared" si="245"/>
        <v>-1460</v>
      </c>
      <c r="E422" s="117"/>
      <c r="F422" s="117"/>
      <c r="G422" s="19">
        <f t="shared" si="246"/>
        <v>-1460</v>
      </c>
      <c r="H422" s="106"/>
      <c r="I422" s="107"/>
      <c r="J422" s="26">
        <f t="shared" si="247"/>
        <v>-1460</v>
      </c>
      <c r="K422" s="117"/>
      <c r="L422" s="117"/>
      <c r="M422" s="38">
        <f t="shared" si="248"/>
        <v>-1460</v>
      </c>
      <c r="N422" s="106"/>
      <c r="O422" s="107"/>
      <c r="P422" s="26">
        <f t="shared" si="249"/>
        <v>-1460</v>
      </c>
      <c r="Q422" s="117"/>
      <c r="R422" s="117"/>
      <c r="S422" s="38">
        <f t="shared" si="250"/>
        <v>-1460</v>
      </c>
      <c r="T422" s="106"/>
      <c r="U422" s="116"/>
      <c r="V422" s="20">
        <f t="shared" si="251"/>
        <v>-1460</v>
      </c>
      <c r="W422" s="143"/>
    </row>
    <row r="423" spans="1:23" ht="15.75" customHeight="1">
      <c r="A423" s="114"/>
      <c r="B423" s="106"/>
      <c r="C423" s="107"/>
      <c r="D423" s="26">
        <f t="shared" si="245"/>
        <v>-1460</v>
      </c>
      <c r="E423" s="117"/>
      <c r="F423" s="117"/>
      <c r="G423" s="19">
        <f t="shared" si="246"/>
        <v>-1460</v>
      </c>
      <c r="H423" s="106"/>
      <c r="I423" s="107"/>
      <c r="J423" s="26">
        <f t="shared" si="247"/>
        <v>-1460</v>
      </c>
      <c r="K423" s="117"/>
      <c r="L423" s="117"/>
      <c r="M423" s="38">
        <f t="shared" si="248"/>
        <v>-1460</v>
      </c>
      <c r="N423" s="106"/>
      <c r="O423" s="107"/>
      <c r="P423" s="26">
        <f t="shared" si="249"/>
        <v>-1460</v>
      </c>
      <c r="Q423" s="117"/>
      <c r="R423" s="117"/>
      <c r="S423" s="38">
        <f t="shared" si="250"/>
        <v>-1460</v>
      </c>
      <c r="T423" s="106"/>
      <c r="U423" s="116"/>
      <c r="V423" s="20">
        <f t="shared" si="251"/>
        <v>-1460</v>
      </c>
      <c r="W423" s="143"/>
    </row>
    <row r="424" spans="1:23" ht="15.75" customHeight="1">
      <c r="A424" s="114"/>
      <c r="B424" s="122"/>
      <c r="C424" s="123"/>
      <c r="D424" s="26">
        <f t="shared" si="245"/>
        <v>-1460</v>
      </c>
      <c r="E424" s="117"/>
      <c r="F424" s="117"/>
      <c r="G424" s="19">
        <f t="shared" si="246"/>
        <v>-1460</v>
      </c>
      <c r="H424" s="122"/>
      <c r="I424" s="123"/>
      <c r="J424" s="26">
        <f t="shared" si="247"/>
        <v>-1460</v>
      </c>
      <c r="K424" s="117"/>
      <c r="L424" s="117"/>
      <c r="M424" s="38">
        <f t="shared" si="248"/>
        <v>-1460</v>
      </c>
      <c r="N424" s="122"/>
      <c r="O424" s="123"/>
      <c r="P424" s="26">
        <f t="shared" si="249"/>
        <v>-1460</v>
      </c>
      <c r="Q424" s="117"/>
      <c r="R424" s="117"/>
      <c r="S424" s="38">
        <f t="shared" si="250"/>
        <v>-1460</v>
      </c>
      <c r="T424" s="106"/>
      <c r="U424" s="116"/>
      <c r="V424" s="20">
        <f t="shared" si="251"/>
        <v>-1460</v>
      </c>
      <c r="W424" s="143"/>
    </row>
    <row r="425" spans="1:23" ht="15.75" customHeight="1">
      <c r="A425" s="114"/>
      <c r="B425" s="122"/>
      <c r="C425" s="123"/>
      <c r="D425" s="26">
        <f t="shared" si="245"/>
        <v>-1460</v>
      </c>
      <c r="E425" s="117"/>
      <c r="F425" s="117"/>
      <c r="G425" s="19">
        <f t="shared" si="246"/>
        <v>-1460</v>
      </c>
      <c r="H425" s="122"/>
      <c r="I425" s="123"/>
      <c r="J425" s="26">
        <f t="shared" si="247"/>
        <v>-1460</v>
      </c>
      <c r="K425" s="117"/>
      <c r="L425" s="117"/>
      <c r="M425" s="38">
        <f t="shared" si="248"/>
        <v>-1460</v>
      </c>
      <c r="N425" s="122"/>
      <c r="O425" s="123"/>
      <c r="P425" s="26">
        <f t="shared" si="249"/>
        <v>-1460</v>
      </c>
      <c r="Q425" s="117"/>
      <c r="R425" s="117"/>
      <c r="S425" s="38">
        <f t="shared" si="250"/>
        <v>-1460</v>
      </c>
      <c r="T425" s="122"/>
      <c r="U425" s="124"/>
      <c r="V425" s="20">
        <f t="shared" si="251"/>
        <v>-1460</v>
      </c>
      <c r="W425" s="143"/>
    </row>
    <row r="426" spans="1:23" ht="15.75" customHeight="1">
      <c r="A426" s="114"/>
      <c r="B426" s="122"/>
      <c r="C426" s="123"/>
      <c r="D426" s="39">
        <f t="shared" si="245"/>
        <v>-1460</v>
      </c>
      <c r="E426" s="128"/>
      <c r="F426" s="128"/>
      <c r="G426" s="29">
        <f t="shared" si="246"/>
        <v>-1460</v>
      </c>
      <c r="H426" s="122"/>
      <c r="I426" s="123"/>
      <c r="J426" s="39">
        <f t="shared" si="247"/>
        <v>-1460</v>
      </c>
      <c r="K426" s="128"/>
      <c r="L426" s="128"/>
      <c r="M426" s="40">
        <f t="shared" si="248"/>
        <v>-1460</v>
      </c>
      <c r="N426" s="122"/>
      <c r="O426" s="123"/>
      <c r="P426" s="39">
        <f t="shared" si="249"/>
        <v>-1460</v>
      </c>
      <c r="Q426" s="128"/>
      <c r="R426" s="128"/>
      <c r="S426" s="40">
        <f t="shared" si="250"/>
        <v>-1460</v>
      </c>
      <c r="T426" s="122"/>
      <c r="U426" s="123"/>
      <c r="V426" s="49">
        <f t="shared" si="251"/>
        <v>-1460</v>
      </c>
      <c r="W426" s="143"/>
    </row>
    <row r="427" spans="1:23" ht="15.75" customHeight="1">
      <c r="A427" s="87"/>
      <c r="B427" s="77" t="str">
        <f ca="1">IFERROR(__xludf.DUMMYFUNCTION("DATE(VALUE(LEFT($B$2,4)),VALUE(MID($B$2,6,2)),VALUE(RIGHT($B$2,2)))
+ (VALUE(REGEXEXTRACT(INDIRECT(""A""&amp;ROW()+1),""\d+""))-1)*7
+ INT((COLUMN()-COLUMN($B427))/3)
"),"#VALUE!")</f>
        <v>#VALUE!</v>
      </c>
      <c r="C427" s="81"/>
      <c r="D427" s="82"/>
      <c r="E427" s="77" t="str">
        <f ca="1">IFERROR(__xludf.DUMMYFUNCTION("DATE(VALUE(LEFT($B$2,4)),VALUE(MID($B$2,6,2)),VALUE(RIGHT($B$2,2)))
+ (VALUE(REGEXEXTRACT(INDIRECT(""A""&amp;ROW()+1),""\d+""))-1)*7
+ INT((COLUMN()-COLUMN($B427))/3)
"),"#VALUE!")</f>
        <v>#VALUE!</v>
      </c>
      <c r="F427" s="81"/>
      <c r="G427" s="82"/>
      <c r="H427" s="77" t="str">
        <f ca="1">IFERROR(__xludf.DUMMYFUNCTION("DATE(VALUE(LEFT($B$2,4)),VALUE(MID($B$2,6,2)),VALUE(RIGHT($B$2,2)))
+ (VALUE(REGEXEXTRACT(INDIRECT(""A""&amp;ROW()+1),""\d+""))-1)*7
+ INT((COLUMN()-COLUMN($B427))/3)
"),"#VALUE!")</f>
        <v>#VALUE!</v>
      </c>
      <c r="I427" s="81"/>
      <c r="J427" s="82"/>
      <c r="K427" s="77" t="str">
        <f ca="1">IFERROR(__xludf.DUMMYFUNCTION("DATE(VALUE(LEFT($B$2,4)),VALUE(MID($B$2,6,2)),VALUE(RIGHT($B$2,2)))
+ (VALUE(REGEXEXTRACT(INDIRECT(""A""&amp;ROW()+1),""\d+""))-1)*7
+ INT((COLUMN()-COLUMN($B427))/3)
"),"#VALUE!")</f>
        <v>#VALUE!</v>
      </c>
      <c r="L427" s="81"/>
      <c r="M427" s="82"/>
      <c r="N427" s="77" t="str">
        <f ca="1">IFERROR(__xludf.DUMMYFUNCTION("DATE(VALUE(LEFT($B$2,4)),VALUE(MID($B$2,6,2)),VALUE(RIGHT($B$2,2)))
+ (VALUE(REGEXEXTRACT(INDIRECT(""A""&amp;ROW()+1),""\d+""))-1)*7
+ INT((COLUMN()-COLUMN($B427))/3)
"),"#VALUE!")</f>
        <v>#VALUE!</v>
      </c>
      <c r="O427" s="81"/>
      <c r="P427" s="82"/>
      <c r="Q427" s="77" t="str">
        <f ca="1">IFERROR(__xludf.DUMMYFUNCTION("DATE(VALUE(LEFT($B$2,4)),VALUE(MID($B$2,6,2)),VALUE(RIGHT($B$2,2)))
+ (VALUE(REGEXEXTRACT(INDIRECT(""A""&amp;ROW()+1),""\d+""))-1)*7
+ INT((COLUMN()-COLUMN($B427))/3)
"),"#VALUE!")</f>
        <v>#VALUE!</v>
      </c>
      <c r="R427" s="81"/>
      <c r="S427" s="82"/>
      <c r="T427" s="77" t="str">
        <f ca="1">IFERROR(__xludf.DUMMYFUNCTION("DATE(VALUE(LEFT($B$2,4)),VALUE(MID($B$2,6,2)),VALUE(RIGHT($B$2,2)))
+ (VALUE(REGEXEXTRACT(INDIRECT(""A""&amp;ROW()+1),""\d+""))-1)*7
+ INT((COLUMN()-COLUMN($B427))/3)
"),"#VALUE!")</f>
        <v>#VALUE!</v>
      </c>
      <c r="U427" s="81"/>
      <c r="V427" s="82"/>
      <c r="W427" s="52" t="s">
        <v>20</v>
      </c>
    </row>
    <row r="428" spans="1:23" ht="15.75" customHeight="1">
      <c r="A428" s="47" t="s">
        <v>165</v>
      </c>
      <c r="B428" s="113"/>
      <c r="C428" s="109"/>
      <c r="D428" s="42">
        <f>V426+C428</f>
        <v>-1460</v>
      </c>
      <c r="E428" s="112"/>
      <c r="F428" s="111"/>
      <c r="G428" s="36">
        <f>D438+F428</f>
        <v>-1460</v>
      </c>
      <c r="H428" s="132"/>
      <c r="I428" s="109"/>
      <c r="J428" s="42">
        <f>G438+I428</f>
        <v>-1460</v>
      </c>
      <c r="K428" s="112"/>
      <c r="L428" s="111"/>
      <c r="M428" s="18">
        <f>J438+L428</f>
        <v>-1460</v>
      </c>
      <c r="N428" s="113"/>
      <c r="O428" s="109"/>
      <c r="P428" s="35">
        <f>M438+O428</f>
        <v>-1460</v>
      </c>
      <c r="Q428" s="112"/>
      <c r="R428" s="111"/>
      <c r="S428" s="18">
        <f>P438+R428</f>
        <v>-1460</v>
      </c>
      <c r="T428" s="173"/>
      <c r="U428" s="173"/>
      <c r="V428" s="50">
        <f>S438+U428</f>
        <v>-1460</v>
      </c>
      <c r="W428" s="172"/>
    </row>
    <row r="429" spans="1:23" ht="15.75" customHeight="1">
      <c r="A429" s="114"/>
      <c r="B429" s="118"/>
      <c r="C429" s="117"/>
      <c r="D429" s="19">
        <f t="shared" ref="D429:D438" si="252">D428+C429</f>
        <v>-1460</v>
      </c>
      <c r="E429" s="106"/>
      <c r="F429" s="107"/>
      <c r="G429" s="26">
        <f t="shared" ref="G429:G438" si="253">G428+F429</f>
        <v>-1460</v>
      </c>
      <c r="H429" s="133"/>
      <c r="I429" s="117"/>
      <c r="J429" s="19">
        <f t="shared" ref="J429:J438" si="254">J428+I429</f>
        <v>-1460</v>
      </c>
      <c r="K429" s="106"/>
      <c r="L429" s="107"/>
      <c r="M429" s="26">
        <f t="shared" ref="M429:M438" si="255">M428+L429</f>
        <v>-1460</v>
      </c>
      <c r="N429" s="118"/>
      <c r="O429" s="117"/>
      <c r="P429" s="38">
        <f t="shared" ref="P429:P438" si="256">P428+O429</f>
        <v>-1460</v>
      </c>
      <c r="Q429" s="106"/>
      <c r="R429" s="107"/>
      <c r="S429" s="26">
        <f t="shared" ref="S429:S438" si="257">S428+R429</f>
        <v>-1460</v>
      </c>
      <c r="T429" s="136"/>
      <c r="U429" s="136"/>
      <c r="V429" s="45">
        <f t="shared" ref="V429:V438" si="258">V428+U429</f>
        <v>-1460</v>
      </c>
      <c r="W429" s="143"/>
    </row>
    <row r="430" spans="1:23" ht="15.75" customHeight="1">
      <c r="A430" s="114"/>
      <c r="B430" s="118"/>
      <c r="C430" s="117"/>
      <c r="D430" s="19">
        <f t="shared" si="252"/>
        <v>-1460</v>
      </c>
      <c r="E430" s="106"/>
      <c r="F430" s="107"/>
      <c r="G430" s="26">
        <f t="shared" si="253"/>
        <v>-1460</v>
      </c>
      <c r="H430" s="133"/>
      <c r="I430" s="117"/>
      <c r="J430" s="19">
        <f t="shared" si="254"/>
        <v>-1460</v>
      </c>
      <c r="K430" s="106"/>
      <c r="L430" s="107"/>
      <c r="M430" s="26">
        <f t="shared" si="255"/>
        <v>-1460</v>
      </c>
      <c r="N430" s="117"/>
      <c r="O430" s="117"/>
      <c r="P430" s="38">
        <f t="shared" si="256"/>
        <v>-1460</v>
      </c>
      <c r="Q430" s="106"/>
      <c r="R430" s="107"/>
      <c r="S430" s="26">
        <f t="shared" si="257"/>
        <v>-1460</v>
      </c>
      <c r="T430" s="117"/>
      <c r="U430" s="117"/>
      <c r="V430" s="45">
        <f t="shared" si="258"/>
        <v>-1460</v>
      </c>
      <c r="W430" s="143"/>
    </row>
    <row r="431" spans="1:23" ht="15.75" customHeight="1">
      <c r="A431" s="114"/>
      <c r="B431" s="118"/>
      <c r="C431" s="117"/>
      <c r="D431" s="19">
        <f t="shared" si="252"/>
        <v>-1460</v>
      </c>
      <c r="E431" s="106"/>
      <c r="F431" s="107"/>
      <c r="G431" s="26">
        <f t="shared" si="253"/>
        <v>-1460</v>
      </c>
      <c r="H431" s="133"/>
      <c r="I431" s="117"/>
      <c r="J431" s="19">
        <f t="shared" si="254"/>
        <v>-1460</v>
      </c>
      <c r="K431" s="106"/>
      <c r="L431" s="107"/>
      <c r="M431" s="26">
        <f t="shared" si="255"/>
        <v>-1460</v>
      </c>
      <c r="N431" s="117"/>
      <c r="O431" s="117"/>
      <c r="P431" s="19">
        <f t="shared" si="256"/>
        <v>-1460</v>
      </c>
      <c r="Q431" s="106"/>
      <c r="R431" s="107"/>
      <c r="S431" s="26">
        <f t="shared" si="257"/>
        <v>-1460</v>
      </c>
      <c r="T431" s="136"/>
      <c r="U431" s="136"/>
      <c r="V431" s="45">
        <f t="shared" si="258"/>
        <v>-1460</v>
      </c>
      <c r="W431" s="143"/>
    </row>
    <row r="432" spans="1:23" ht="15.75" customHeight="1">
      <c r="A432" s="114"/>
      <c r="B432" s="118"/>
      <c r="C432" s="117"/>
      <c r="D432" s="19">
        <f t="shared" si="252"/>
        <v>-1460</v>
      </c>
      <c r="E432" s="106"/>
      <c r="F432" s="107"/>
      <c r="G432" s="26">
        <f t="shared" si="253"/>
        <v>-1460</v>
      </c>
      <c r="H432" s="133"/>
      <c r="I432" s="117"/>
      <c r="J432" s="19">
        <f t="shared" si="254"/>
        <v>-1460</v>
      </c>
      <c r="K432" s="106"/>
      <c r="L432" s="107"/>
      <c r="M432" s="26">
        <f t="shared" si="255"/>
        <v>-1460</v>
      </c>
      <c r="N432" s="117"/>
      <c r="O432" s="117"/>
      <c r="P432" s="19">
        <f t="shared" si="256"/>
        <v>-1460</v>
      </c>
      <c r="Q432" s="106"/>
      <c r="R432" s="107"/>
      <c r="S432" s="26">
        <f t="shared" si="257"/>
        <v>-1460</v>
      </c>
      <c r="T432" s="136"/>
      <c r="U432" s="136"/>
      <c r="V432" s="45">
        <f t="shared" si="258"/>
        <v>-1460</v>
      </c>
      <c r="W432" s="143"/>
    </row>
    <row r="433" spans="1:23" ht="15.75" customHeight="1">
      <c r="A433" s="114"/>
      <c r="B433" s="118"/>
      <c r="C433" s="117"/>
      <c r="D433" s="19">
        <f t="shared" si="252"/>
        <v>-1460</v>
      </c>
      <c r="E433" s="106"/>
      <c r="F433" s="107"/>
      <c r="G433" s="26">
        <f t="shared" si="253"/>
        <v>-1460</v>
      </c>
      <c r="H433" s="133"/>
      <c r="I433" s="117"/>
      <c r="J433" s="19">
        <f t="shared" si="254"/>
        <v>-1460</v>
      </c>
      <c r="K433" s="106"/>
      <c r="L433" s="107"/>
      <c r="M433" s="26">
        <f t="shared" si="255"/>
        <v>-1460</v>
      </c>
      <c r="N433" s="117"/>
      <c r="O433" s="117"/>
      <c r="P433" s="19">
        <f t="shared" si="256"/>
        <v>-1460</v>
      </c>
      <c r="Q433" s="106"/>
      <c r="R433" s="107"/>
      <c r="S433" s="26">
        <f t="shared" si="257"/>
        <v>-1460</v>
      </c>
      <c r="T433" s="136"/>
      <c r="U433" s="136"/>
      <c r="V433" s="45">
        <f t="shared" si="258"/>
        <v>-1460</v>
      </c>
      <c r="W433" s="143"/>
    </row>
    <row r="434" spans="1:23" ht="15.75" customHeight="1">
      <c r="A434" s="114"/>
      <c r="B434" s="117"/>
      <c r="C434" s="117"/>
      <c r="D434" s="19">
        <f t="shared" si="252"/>
        <v>-1460</v>
      </c>
      <c r="E434" s="106"/>
      <c r="F434" s="107"/>
      <c r="G434" s="26">
        <f t="shared" si="253"/>
        <v>-1460</v>
      </c>
      <c r="H434" s="133"/>
      <c r="I434" s="117"/>
      <c r="J434" s="19">
        <f t="shared" si="254"/>
        <v>-1460</v>
      </c>
      <c r="K434" s="106"/>
      <c r="L434" s="107"/>
      <c r="M434" s="26">
        <f t="shared" si="255"/>
        <v>-1460</v>
      </c>
      <c r="N434" s="117"/>
      <c r="O434" s="117"/>
      <c r="P434" s="19">
        <f t="shared" si="256"/>
        <v>-1460</v>
      </c>
      <c r="Q434" s="106"/>
      <c r="R434" s="107"/>
      <c r="S434" s="26">
        <f t="shared" si="257"/>
        <v>-1460</v>
      </c>
      <c r="T434" s="136"/>
      <c r="U434" s="136"/>
      <c r="V434" s="45">
        <f t="shared" si="258"/>
        <v>-1460</v>
      </c>
      <c r="W434" s="143"/>
    </row>
    <row r="435" spans="1:23" ht="15.75" customHeight="1">
      <c r="A435" s="114"/>
      <c r="B435" s="117"/>
      <c r="C435" s="117"/>
      <c r="D435" s="19">
        <f t="shared" si="252"/>
        <v>-1460</v>
      </c>
      <c r="E435" s="106"/>
      <c r="F435" s="107"/>
      <c r="G435" s="26">
        <f t="shared" si="253"/>
        <v>-1460</v>
      </c>
      <c r="H435" s="133"/>
      <c r="I435" s="117"/>
      <c r="J435" s="19">
        <f t="shared" si="254"/>
        <v>-1460</v>
      </c>
      <c r="K435" s="106"/>
      <c r="L435" s="107"/>
      <c r="M435" s="26">
        <f t="shared" si="255"/>
        <v>-1460</v>
      </c>
      <c r="N435" s="117"/>
      <c r="O435" s="117"/>
      <c r="P435" s="19">
        <f t="shared" si="256"/>
        <v>-1460</v>
      </c>
      <c r="Q435" s="106"/>
      <c r="R435" s="107"/>
      <c r="S435" s="26">
        <f t="shared" si="257"/>
        <v>-1460</v>
      </c>
      <c r="T435" s="136"/>
      <c r="U435" s="136"/>
      <c r="V435" s="45">
        <f t="shared" si="258"/>
        <v>-1460</v>
      </c>
      <c r="W435" s="143"/>
    </row>
    <row r="436" spans="1:23" ht="15.75" customHeight="1">
      <c r="A436" s="114"/>
      <c r="B436" s="117"/>
      <c r="C436" s="117"/>
      <c r="D436" s="19">
        <f t="shared" si="252"/>
        <v>-1460</v>
      </c>
      <c r="E436" s="106"/>
      <c r="F436" s="107"/>
      <c r="G436" s="26">
        <f t="shared" si="253"/>
        <v>-1460</v>
      </c>
      <c r="H436" s="133"/>
      <c r="I436" s="117"/>
      <c r="J436" s="19">
        <f t="shared" si="254"/>
        <v>-1460</v>
      </c>
      <c r="K436" s="106"/>
      <c r="L436" s="107"/>
      <c r="M436" s="26">
        <f t="shared" si="255"/>
        <v>-1460</v>
      </c>
      <c r="N436" s="117"/>
      <c r="O436" s="117"/>
      <c r="P436" s="19">
        <f t="shared" si="256"/>
        <v>-1460</v>
      </c>
      <c r="Q436" s="106"/>
      <c r="R436" s="107"/>
      <c r="S436" s="26">
        <f t="shared" si="257"/>
        <v>-1460</v>
      </c>
      <c r="T436" s="136"/>
      <c r="U436" s="136"/>
      <c r="V436" s="45">
        <f t="shared" si="258"/>
        <v>-1460</v>
      </c>
      <c r="W436" s="143"/>
    </row>
    <row r="437" spans="1:23" ht="15.75" customHeight="1">
      <c r="A437" s="114"/>
      <c r="B437" s="117"/>
      <c r="C437" s="117"/>
      <c r="D437" s="19">
        <f t="shared" si="252"/>
        <v>-1460</v>
      </c>
      <c r="E437" s="122"/>
      <c r="F437" s="123"/>
      <c r="G437" s="26">
        <f t="shared" si="253"/>
        <v>-1460</v>
      </c>
      <c r="H437" s="133"/>
      <c r="I437" s="117"/>
      <c r="J437" s="19">
        <f t="shared" si="254"/>
        <v>-1460</v>
      </c>
      <c r="K437" s="122"/>
      <c r="L437" s="123"/>
      <c r="M437" s="26">
        <f t="shared" si="255"/>
        <v>-1460</v>
      </c>
      <c r="N437" s="117"/>
      <c r="O437" s="117"/>
      <c r="P437" s="19">
        <f t="shared" si="256"/>
        <v>-1460</v>
      </c>
      <c r="Q437" s="106"/>
      <c r="R437" s="107"/>
      <c r="S437" s="26">
        <f t="shared" si="257"/>
        <v>-1460</v>
      </c>
      <c r="T437" s="136"/>
      <c r="U437" s="136"/>
      <c r="V437" s="45">
        <f t="shared" si="258"/>
        <v>-1460</v>
      </c>
      <c r="W437" s="143"/>
    </row>
    <row r="438" spans="1:23" ht="15.75" customHeight="1">
      <c r="A438" s="114"/>
      <c r="B438" s="128"/>
      <c r="C438" s="128"/>
      <c r="D438" s="29">
        <f t="shared" si="252"/>
        <v>-1460</v>
      </c>
      <c r="E438" s="122"/>
      <c r="F438" s="123"/>
      <c r="G438" s="53">
        <f t="shared" si="253"/>
        <v>-1460</v>
      </c>
      <c r="H438" s="140"/>
      <c r="I438" s="128"/>
      <c r="J438" s="29">
        <f t="shared" si="254"/>
        <v>-1460</v>
      </c>
      <c r="K438" s="122"/>
      <c r="L438" s="123"/>
      <c r="M438" s="39">
        <f t="shared" si="255"/>
        <v>-1460</v>
      </c>
      <c r="N438" s="128"/>
      <c r="O438" s="128"/>
      <c r="P438" s="55">
        <f t="shared" si="256"/>
        <v>-1460</v>
      </c>
      <c r="Q438" s="124"/>
      <c r="R438" s="123"/>
      <c r="S438" s="39">
        <f t="shared" si="257"/>
        <v>-1460</v>
      </c>
      <c r="T438" s="141"/>
      <c r="U438" s="141"/>
      <c r="V438" s="46">
        <f t="shared" si="258"/>
        <v>-1460</v>
      </c>
      <c r="W438" s="143"/>
    </row>
    <row r="439" spans="1:23" ht="15.75" customHeight="1">
      <c r="A439" s="87"/>
      <c r="B439" s="77" t="str">
        <f ca="1">IFERROR(__xludf.DUMMYFUNCTION("DATE(VALUE(LEFT($B$2,4)),VALUE(MID($B$2,6,2)),VALUE(RIGHT($B$2,2)))
+ (VALUE(REGEXEXTRACT(INDIRECT(""A""&amp;ROW()+1),""\d+""))-1)*7
+ INT((COLUMN()-COLUMN($B439))/3)
"),"#VALUE!")</f>
        <v>#VALUE!</v>
      </c>
      <c r="C439" s="81"/>
      <c r="D439" s="82"/>
      <c r="E439" s="77" t="str">
        <f ca="1">IFERROR(__xludf.DUMMYFUNCTION("DATE(VALUE(LEFT($B$2,4)),VALUE(MID($B$2,6,2)),VALUE(RIGHT($B$2,2)))
+ (VALUE(REGEXEXTRACT(INDIRECT(""A""&amp;ROW()+1),""\d+""))-1)*7
+ INT((COLUMN()-COLUMN($B439))/3)
"),"#VALUE!")</f>
        <v>#VALUE!</v>
      </c>
      <c r="F439" s="81"/>
      <c r="G439" s="82"/>
      <c r="H439" s="77" t="str">
        <f ca="1">IFERROR(__xludf.DUMMYFUNCTION("DATE(VALUE(LEFT($B$2,4)),VALUE(MID($B$2,6,2)),VALUE(RIGHT($B$2,2)))
+ (VALUE(REGEXEXTRACT(INDIRECT(""A""&amp;ROW()+1),""\d+""))-1)*7
+ INT((COLUMN()-COLUMN($B439))/3)
"),"#VALUE!")</f>
        <v>#VALUE!</v>
      </c>
      <c r="I439" s="81"/>
      <c r="J439" s="82"/>
      <c r="K439" s="77" t="str">
        <f ca="1">IFERROR(__xludf.DUMMYFUNCTION("DATE(VALUE(LEFT($B$2,4)),VALUE(MID($B$2,6,2)),VALUE(RIGHT($B$2,2)))
+ (VALUE(REGEXEXTRACT(INDIRECT(""A""&amp;ROW()+1),""\d+""))-1)*7
+ INT((COLUMN()-COLUMN($B439))/3)
"),"#VALUE!")</f>
        <v>#VALUE!</v>
      </c>
      <c r="L439" s="81"/>
      <c r="M439" s="82"/>
      <c r="N439" s="77" t="str">
        <f ca="1">IFERROR(__xludf.DUMMYFUNCTION("DATE(VALUE(LEFT($B$2,4)),VALUE(MID($B$2,6,2)),VALUE(RIGHT($B$2,2)))
+ (VALUE(REGEXEXTRACT(INDIRECT(""A""&amp;ROW()+1),""\d+""))-1)*7
+ INT((COLUMN()-COLUMN($B439))/3)
"),"#VALUE!")</f>
        <v>#VALUE!</v>
      </c>
      <c r="O439" s="81"/>
      <c r="P439" s="82"/>
      <c r="Q439" s="77" t="str">
        <f ca="1">IFERROR(__xludf.DUMMYFUNCTION("DATE(VALUE(LEFT($B$2,4)),VALUE(MID($B$2,6,2)),VALUE(RIGHT($B$2,2)))
+ (VALUE(REGEXEXTRACT(INDIRECT(""A""&amp;ROW()+1),""\d+""))-1)*7
+ INT((COLUMN()-COLUMN($B439))/3)
"),"#VALUE!")</f>
        <v>#VALUE!</v>
      </c>
      <c r="R439" s="81"/>
      <c r="S439" s="82"/>
      <c r="T439" s="77" t="str">
        <f ca="1">IFERROR(__xludf.DUMMYFUNCTION("DATE(VALUE(LEFT($B$2,4)),VALUE(MID($B$2,6,2)),VALUE(RIGHT($B$2,2)))
+ (VALUE(REGEXEXTRACT(INDIRECT(""A""&amp;ROW()+1),""\d+""))-1)*7
+ INT((COLUMN()-COLUMN($B439))/3)
"),"#VALUE!")</f>
        <v>#VALUE!</v>
      </c>
      <c r="U439" s="81"/>
      <c r="V439" s="82"/>
      <c r="W439" s="143"/>
    </row>
    <row r="440" spans="1:23" ht="15.75" customHeight="1">
      <c r="A440" s="51" t="s">
        <v>166</v>
      </c>
      <c r="B440" s="112"/>
      <c r="C440" s="111"/>
      <c r="D440" s="17">
        <f>V438+C440</f>
        <v>-1460</v>
      </c>
      <c r="E440" s="109"/>
      <c r="F440" s="109"/>
      <c r="G440" s="54">
        <f>D450+F440</f>
        <v>-1460</v>
      </c>
      <c r="H440" s="110"/>
      <c r="I440" s="111"/>
      <c r="J440" s="17">
        <f>G450+I440</f>
        <v>-1460</v>
      </c>
      <c r="K440" s="109"/>
      <c r="L440" s="109"/>
      <c r="M440" s="35">
        <f>J450+L440</f>
        <v>-1460</v>
      </c>
      <c r="N440" s="112"/>
      <c r="O440" s="111"/>
      <c r="P440" s="17">
        <f>M450+O440</f>
        <v>-1460</v>
      </c>
      <c r="Q440" s="109"/>
      <c r="R440" s="109"/>
      <c r="S440" s="35">
        <f>P450+R440</f>
        <v>-1460</v>
      </c>
      <c r="T440" s="112"/>
      <c r="U440" s="111"/>
      <c r="V440" s="48">
        <f>S450+U440</f>
        <v>-1460</v>
      </c>
      <c r="W440" s="143"/>
    </row>
    <row r="441" spans="1:23" ht="15.75" customHeight="1">
      <c r="A441" s="114"/>
      <c r="B441" s="106"/>
      <c r="C441" s="107"/>
      <c r="D441" s="26">
        <f t="shared" ref="D441:D450" si="259">D440+C441</f>
        <v>-1460</v>
      </c>
      <c r="E441" s="117"/>
      <c r="F441" s="117"/>
      <c r="G441" s="19">
        <f t="shared" ref="G441:G450" si="260">G440+F441</f>
        <v>-1460</v>
      </c>
      <c r="H441" s="116"/>
      <c r="I441" s="107"/>
      <c r="J441" s="26">
        <f t="shared" ref="J441:J450" si="261">J440+I441</f>
        <v>-1460</v>
      </c>
      <c r="K441" s="117"/>
      <c r="L441" s="117"/>
      <c r="M441" s="38">
        <f t="shared" ref="M441:M450" si="262">M440+L441</f>
        <v>-1460</v>
      </c>
      <c r="N441" s="106"/>
      <c r="O441" s="107"/>
      <c r="P441" s="26">
        <f t="shared" ref="P441:P450" si="263">P440+O441</f>
        <v>-1460</v>
      </c>
      <c r="Q441" s="117"/>
      <c r="R441" s="117"/>
      <c r="S441" s="38">
        <f t="shared" ref="S441:S450" si="264">S440+R441</f>
        <v>-1460</v>
      </c>
      <c r="T441" s="106"/>
      <c r="U441" s="107"/>
      <c r="V441" s="20">
        <f t="shared" ref="V441:V450" si="265">V440+U441</f>
        <v>-1460</v>
      </c>
      <c r="W441" s="143"/>
    </row>
    <row r="442" spans="1:23" ht="15.75" customHeight="1">
      <c r="A442" s="114"/>
      <c r="B442" s="106"/>
      <c r="C442" s="107"/>
      <c r="D442" s="26">
        <f t="shared" si="259"/>
        <v>-1460</v>
      </c>
      <c r="E442" s="117"/>
      <c r="F442" s="117"/>
      <c r="G442" s="19">
        <f t="shared" si="260"/>
        <v>-1460</v>
      </c>
      <c r="H442" s="116"/>
      <c r="I442" s="107"/>
      <c r="J442" s="26">
        <f t="shared" si="261"/>
        <v>-1460</v>
      </c>
      <c r="K442" s="117"/>
      <c r="L442" s="117"/>
      <c r="M442" s="38">
        <f t="shared" si="262"/>
        <v>-1460</v>
      </c>
      <c r="N442" s="106"/>
      <c r="O442" s="107"/>
      <c r="P442" s="26">
        <f t="shared" si="263"/>
        <v>-1460</v>
      </c>
      <c r="Q442" s="117"/>
      <c r="R442" s="117"/>
      <c r="S442" s="38">
        <f t="shared" si="264"/>
        <v>-1460</v>
      </c>
      <c r="T442" s="106"/>
      <c r="U442" s="116"/>
      <c r="V442" s="20">
        <f t="shared" si="265"/>
        <v>-1460</v>
      </c>
      <c r="W442" s="143"/>
    </row>
    <row r="443" spans="1:23" ht="15.75" customHeight="1">
      <c r="A443" s="114"/>
      <c r="B443" s="106"/>
      <c r="C443" s="107"/>
      <c r="D443" s="26">
        <f t="shared" si="259"/>
        <v>-1460</v>
      </c>
      <c r="E443" s="117"/>
      <c r="F443" s="117"/>
      <c r="G443" s="19">
        <f t="shared" si="260"/>
        <v>-1460</v>
      </c>
      <c r="H443" s="116"/>
      <c r="I443" s="107"/>
      <c r="J443" s="26">
        <f t="shared" si="261"/>
        <v>-1460</v>
      </c>
      <c r="K443" s="117"/>
      <c r="L443" s="117"/>
      <c r="M443" s="38">
        <f t="shared" si="262"/>
        <v>-1460</v>
      </c>
      <c r="N443" s="106"/>
      <c r="O443" s="107"/>
      <c r="P443" s="26">
        <f t="shared" si="263"/>
        <v>-1460</v>
      </c>
      <c r="Q443" s="117"/>
      <c r="R443" s="117"/>
      <c r="S443" s="38">
        <f t="shared" si="264"/>
        <v>-1460</v>
      </c>
      <c r="T443" s="106"/>
      <c r="U443" s="116"/>
      <c r="V443" s="20">
        <f t="shared" si="265"/>
        <v>-1460</v>
      </c>
      <c r="W443" s="143"/>
    </row>
    <row r="444" spans="1:23" ht="15.75" customHeight="1">
      <c r="A444" s="114"/>
      <c r="B444" s="106"/>
      <c r="C444" s="107"/>
      <c r="D444" s="26">
        <f t="shared" si="259"/>
        <v>-1460</v>
      </c>
      <c r="E444" s="117"/>
      <c r="F444" s="117"/>
      <c r="G444" s="19">
        <f t="shared" si="260"/>
        <v>-1460</v>
      </c>
      <c r="H444" s="116"/>
      <c r="I444" s="107"/>
      <c r="J444" s="26">
        <f t="shared" si="261"/>
        <v>-1460</v>
      </c>
      <c r="K444" s="117"/>
      <c r="L444" s="117"/>
      <c r="M444" s="38">
        <f t="shared" si="262"/>
        <v>-1460</v>
      </c>
      <c r="N444" s="106"/>
      <c r="O444" s="107"/>
      <c r="P444" s="26">
        <f t="shared" si="263"/>
        <v>-1460</v>
      </c>
      <c r="Q444" s="117"/>
      <c r="R444" s="117"/>
      <c r="S444" s="38">
        <f t="shared" si="264"/>
        <v>-1460</v>
      </c>
      <c r="T444" s="106"/>
      <c r="U444" s="116"/>
      <c r="V444" s="20">
        <f t="shared" si="265"/>
        <v>-1460</v>
      </c>
      <c r="W444" s="143"/>
    </row>
    <row r="445" spans="1:23" ht="15.75" customHeight="1">
      <c r="A445" s="114"/>
      <c r="B445" s="106"/>
      <c r="C445" s="107"/>
      <c r="D445" s="26">
        <f t="shared" si="259"/>
        <v>-1460</v>
      </c>
      <c r="E445" s="117"/>
      <c r="F445" s="117"/>
      <c r="G445" s="19">
        <f t="shared" si="260"/>
        <v>-1460</v>
      </c>
      <c r="H445" s="116"/>
      <c r="I445" s="107"/>
      <c r="J445" s="26">
        <f t="shared" si="261"/>
        <v>-1460</v>
      </c>
      <c r="K445" s="117"/>
      <c r="L445" s="117"/>
      <c r="M445" s="38">
        <f t="shared" si="262"/>
        <v>-1460</v>
      </c>
      <c r="N445" s="106"/>
      <c r="O445" s="107"/>
      <c r="P445" s="26">
        <f t="shared" si="263"/>
        <v>-1460</v>
      </c>
      <c r="Q445" s="117"/>
      <c r="R445" s="117"/>
      <c r="S445" s="38">
        <f t="shared" si="264"/>
        <v>-1460</v>
      </c>
      <c r="T445" s="106"/>
      <c r="U445" s="116"/>
      <c r="V445" s="20">
        <f t="shared" si="265"/>
        <v>-1460</v>
      </c>
      <c r="W445" s="143"/>
    </row>
    <row r="446" spans="1:23" ht="15.75" customHeight="1">
      <c r="A446" s="114"/>
      <c r="B446" s="106"/>
      <c r="C446" s="107"/>
      <c r="D446" s="26">
        <f t="shared" si="259"/>
        <v>-1460</v>
      </c>
      <c r="E446" s="117"/>
      <c r="F446" s="117"/>
      <c r="G446" s="19">
        <f t="shared" si="260"/>
        <v>-1460</v>
      </c>
      <c r="H446" s="116"/>
      <c r="I446" s="107"/>
      <c r="J446" s="26">
        <f t="shared" si="261"/>
        <v>-1460</v>
      </c>
      <c r="K446" s="117"/>
      <c r="L446" s="117"/>
      <c r="M446" s="38">
        <f t="shared" si="262"/>
        <v>-1460</v>
      </c>
      <c r="N446" s="106"/>
      <c r="O446" s="107"/>
      <c r="P446" s="26">
        <f t="shared" si="263"/>
        <v>-1460</v>
      </c>
      <c r="Q446" s="117"/>
      <c r="R446" s="117"/>
      <c r="S446" s="38">
        <f t="shared" si="264"/>
        <v>-1460</v>
      </c>
      <c r="T446" s="106"/>
      <c r="U446" s="116"/>
      <c r="V446" s="20">
        <f t="shared" si="265"/>
        <v>-1460</v>
      </c>
      <c r="W446" s="143"/>
    </row>
    <row r="447" spans="1:23" ht="15.75" customHeight="1">
      <c r="A447" s="114"/>
      <c r="B447" s="106"/>
      <c r="C447" s="107"/>
      <c r="D447" s="26">
        <f t="shared" si="259"/>
        <v>-1460</v>
      </c>
      <c r="E447" s="117"/>
      <c r="F447" s="117"/>
      <c r="G447" s="19">
        <f t="shared" si="260"/>
        <v>-1460</v>
      </c>
      <c r="H447" s="116"/>
      <c r="I447" s="107"/>
      <c r="J447" s="26">
        <f t="shared" si="261"/>
        <v>-1460</v>
      </c>
      <c r="K447" s="117"/>
      <c r="L447" s="117"/>
      <c r="M447" s="38">
        <f t="shared" si="262"/>
        <v>-1460</v>
      </c>
      <c r="N447" s="106"/>
      <c r="O447" s="107"/>
      <c r="P447" s="26">
        <f t="shared" si="263"/>
        <v>-1460</v>
      </c>
      <c r="Q447" s="117"/>
      <c r="R447" s="117"/>
      <c r="S447" s="38">
        <f t="shared" si="264"/>
        <v>-1460</v>
      </c>
      <c r="T447" s="106"/>
      <c r="U447" s="116"/>
      <c r="V447" s="20">
        <f t="shared" si="265"/>
        <v>-1460</v>
      </c>
      <c r="W447" s="143"/>
    </row>
    <row r="448" spans="1:23" ht="15.75" customHeight="1">
      <c r="A448" s="114"/>
      <c r="B448" s="122"/>
      <c r="C448" s="123"/>
      <c r="D448" s="26">
        <f t="shared" si="259"/>
        <v>-1460</v>
      </c>
      <c r="E448" s="117"/>
      <c r="F448" s="117"/>
      <c r="G448" s="19">
        <f t="shared" si="260"/>
        <v>-1460</v>
      </c>
      <c r="H448" s="124"/>
      <c r="I448" s="123"/>
      <c r="J448" s="26">
        <f t="shared" si="261"/>
        <v>-1460</v>
      </c>
      <c r="K448" s="117"/>
      <c r="L448" s="117"/>
      <c r="M448" s="38">
        <f t="shared" si="262"/>
        <v>-1460</v>
      </c>
      <c r="N448" s="122"/>
      <c r="O448" s="123"/>
      <c r="P448" s="26">
        <f t="shared" si="263"/>
        <v>-1460</v>
      </c>
      <c r="Q448" s="117"/>
      <c r="R448" s="117"/>
      <c r="S448" s="38">
        <f t="shared" si="264"/>
        <v>-1460</v>
      </c>
      <c r="T448" s="106"/>
      <c r="U448" s="116"/>
      <c r="V448" s="20">
        <f t="shared" si="265"/>
        <v>-1460</v>
      </c>
      <c r="W448" s="143"/>
    </row>
    <row r="449" spans="1:23" ht="15.75" customHeight="1">
      <c r="A449" s="114"/>
      <c r="B449" s="122"/>
      <c r="C449" s="123"/>
      <c r="D449" s="26">
        <f t="shared" si="259"/>
        <v>-1460</v>
      </c>
      <c r="E449" s="117"/>
      <c r="F449" s="117"/>
      <c r="G449" s="19">
        <f t="shared" si="260"/>
        <v>-1460</v>
      </c>
      <c r="H449" s="124"/>
      <c r="I449" s="123"/>
      <c r="J449" s="26">
        <f t="shared" si="261"/>
        <v>-1460</v>
      </c>
      <c r="K449" s="117"/>
      <c r="L449" s="117"/>
      <c r="M449" s="38">
        <f t="shared" si="262"/>
        <v>-1460</v>
      </c>
      <c r="N449" s="122"/>
      <c r="O449" s="123"/>
      <c r="P449" s="26">
        <f t="shared" si="263"/>
        <v>-1460</v>
      </c>
      <c r="Q449" s="117"/>
      <c r="R449" s="117"/>
      <c r="S449" s="38">
        <f t="shared" si="264"/>
        <v>-1460</v>
      </c>
      <c r="T449" s="122"/>
      <c r="U449" s="124"/>
      <c r="V449" s="20">
        <f t="shared" si="265"/>
        <v>-1460</v>
      </c>
      <c r="W449" s="143"/>
    </row>
    <row r="450" spans="1:23" ht="15.75" customHeight="1">
      <c r="A450" s="114"/>
      <c r="B450" s="122"/>
      <c r="C450" s="123"/>
      <c r="D450" s="39">
        <f t="shared" si="259"/>
        <v>-1460</v>
      </c>
      <c r="E450" s="128"/>
      <c r="F450" s="128"/>
      <c r="G450" s="55">
        <f t="shared" si="260"/>
        <v>-1460</v>
      </c>
      <c r="H450" s="124"/>
      <c r="I450" s="123"/>
      <c r="J450" s="39">
        <f t="shared" si="261"/>
        <v>-1460</v>
      </c>
      <c r="K450" s="128"/>
      <c r="L450" s="128"/>
      <c r="M450" s="40">
        <f t="shared" si="262"/>
        <v>-1460</v>
      </c>
      <c r="N450" s="122"/>
      <c r="O450" s="123"/>
      <c r="P450" s="39">
        <f t="shared" si="263"/>
        <v>-1460</v>
      </c>
      <c r="Q450" s="128"/>
      <c r="R450" s="128"/>
      <c r="S450" s="40">
        <f t="shared" si="264"/>
        <v>-1460</v>
      </c>
      <c r="T450" s="122"/>
      <c r="U450" s="123"/>
      <c r="V450" s="49">
        <f t="shared" si="265"/>
        <v>-1460</v>
      </c>
      <c r="W450" s="143"/>
    </row>
    <row r="451" spans="1:23" ht="15.75" customHeight="1">
      <c r="A451" s="87"/>
      <c r="B451" s="77" t="str">
        <f ca="1">IFERROR(__xludf.DUMMYFUNCTION("DATE(VALUE(LEFT($B$2,4)),VALUE(MID($B$2,6,2)),VALUE(RIGHT($B$2,2)))
+ (VALUE(REGEXEXTRACT(INDIRECT(""A""&amp;ROW()+1),""\d+""))-1)*7
+ INT((COLUMN()-COLUMN($B451))/3)
"),"#VALUE!")</f>
        <v>#VALUE!</v>
      </c>
      <c r="C451" s="81"/>
      <c r="D451" s="82"/>
      <c r="E451" s="77" t="str">
        <f ca="1">IFERROR(__xludf.DUMMYFUNCTION("DATE(VALUE(LEFT($B$2,4)),VALUE(MID($B$2,6,2)),VALUE(RIGHT($B$2,2)))
+ (VALUE(REGEXEXTRACT(INDIRECT(""A""&amp;ROW()+1),""\d+""))-1)*7
+ INT((COLUMN()-COLUMN($B451))/3)
"),"#VALUE!")</f>
        <v>#VALUE!</v>
      </c>
      <c r="F451" s="81"/>
      <c r="G451" s="82"/>
      <c r="H451" s="77" t="str">
        <f ca="1">IFERROR(__xludf.DUMMYFUNCTION("DATE(VALUE(LEFT($B$2,4)),VALUE(MID($B$2,6,2)),VALUE(RIGHT($B$2,2)))
+ (VALUE(REGEXEXTRACT(INDIRECT(""A""&amp;ROW()+1),""\d+""))-1)*7
+ INT((COLUMN()-COLUMN($B451))/3)
"),"#VALUE!")</f>
        <v>#VALUE!</v>
      </c>
      <c r="I451" s="81"/>
      <c r="J451" s="82"/>
      <c r="K451" s="77" t="str">
        <f ca="1">IFERROR(__xludf.DUMMYFUNCTION("DATE(VALUE(LEFT($B$2,4)),VALUE(MID($B$2,6,2)),VALUE(RIGHT($B$2,2)))
+ (VALUE(REGEXEXTRACT(INDIRECT(""A""&amp;ROW()+1),""\d+""))-1)*7
+ INT((COLUMN()-COLUMN($B451))/3)
"),"#VALUE!")</f>
        <v>#VALUE!</v>
      </c>
      <c r="L451" s="81"/>
      <c r="M451" s="82"/>
      <c r="N451" s="77" t="str">
        <f ca="1">IFERROR(__xludf.DUMMYFUNCTION("DATE(VALUE(LEFT($B$2,4)),VALUE(MID($B$2,6,2)),VALUE(RIGHT($B$2,2)))
+ (VALUE(REGEXEXTRACT(INDIRECT(""A""&amp;ROW()+1),""\d+""))-1)*7
+ INT((COLUMN()-COLUMN($B451))/3)
"),"#VALUE!")</f>
        <v>#VALUE!</v>
      </c>
      <c r="O451" s="81"/>
      <c r="P451" s="82"/>
      <c r="Q451" s="77" t="str">
        <f ca="1">IFERROR(__xludf.DUMMYFUNCTION("DATE(VALUE(LEFT($B$2,4)),VALUE(MID($B$2,6,2)),VALUE(RIGHT($B$2,2)))
+ (VALUE(REGEXEXTRACT(INDIRECT(""A""&amp;ROW()+1),""\d+""))-1)*7
+ INT((COLUMN()-COLUMN($B451))/3)
"),"#VALUE!")</f>
        <v>#VALUE!</v>
      </c>
      <c r="R451" s="81"/>
      <c r="S451" s="82"/>
      <c r="T451" s="77" t="str">
        <f ca="1">IFERROR(__xludf.DUMMYFUNCTION("DATE(VALUE(LEFT($B$2,4)),VALUE(MID($B$2,6,2)),VALUE(RIGHT($B$2,2)))
+ (VALUE(REGEXEXTRACT(INDIRECT(""A""&amp;ROW()+1),""\d+""))-1)*7
+ INT((COLUMN()-COLUMN($B451))/3)
"),"#VALUE!")</f>
        <v>#VALUE!</v>
      </c>
      <c r="U451" s="81"/>
      <c r="V451" s="82"/>
      <c r="W451" s="52" t="s">
        <v>20</v>
      </c>
    </row>
    <row r="452" spans="1:23" ht="15.75" customHeight="1">
      <c r="A452" s="47" t="s">
        <v>167</v>
      </c>
      <c r="B452" s="113"/>
      <c r="C452" s="109"/>
      <c r="D452" s="42">
        <f>V450+C452</f>
        <v>-1460</v>
      </c>
      <c r="E452" s="112"/>
      <c r="F452" s="111"/>
      <c r="G452" s="36">
        <f>D462+F452</f>
        <v>-1460</v>
      </c>
      <c r="H452" s="132"/>
      <c r="I452" s="109"/>
      <c r="J452" s="42">
        <f>G462+I452</f>
        <v>-1460</v>
      </c>
      <c r="K452" s="112"/>
      <c r="L452" s="111"/>
      <c r="M452" s="18">
        <f>J462+L452</f>
        <v>-1460</v>
      </c>
      <c r="N452" s="113"/>
      <c r="O452" s="109"/>
      <c r="P452" s="35">
        <f>M462+O452</f>
        <v>-1460</v>
      </c>
      <c r="Q452" s="112"/>
      <c r="R452" s="111"/>
      <c r="S452" s="18">
        <f>P462+R452</f>
        <v>-1460</v>
      </c>
      <c r="T452" s="173"/>
      <c r="U452" s="173"/>
      <c r="V452" s="50">
        <f>S462+U452</f>
        <v>-1460</v>
      </c>
      <c r="W452" s="172"/>
    </row>
    <row r="453" spans="1:23" ht="15.75" customHeight="1">
      <c r="A453" s="114"/>
      <c r="B453" s="118"/>
      <c r="C453" s="117"/>
      <c r="D453" s="19">
        <f t="shared" ref="D453:D462" si="266">D452+C453</f>
        <v>-1460</v>
      </c>
      <c r="E453" s="106"/>
      <c r="F453" s="107"/>
      <c r="G453" s="26">
        <f t="shared" ref="G453:G462" si="267">G452+F453</f>
        <v>-1460</v>
      </c>
      <c r="H453" s="133"/>
      <c r="I453" s="117"/>
      <c r="J453" s="19">
        <f t="shared" ref="J453:J462" si="268">J452+I453</f>
        <v>-1460</v>
      </c>
      <c r="K453" s="106"/>
      <c r="L453" s="107"/>
      <c r="M453" s="26">
        <f t="shared" ref="M453:M462" si="269">M452+L453</f>
        <v>-1460</v>
      </c>
      <c r="N453" s="118"/>
      <c r="O453" s="117"/>
      <c r="P453" s="38">
        <f t="shared" ref="P453:P462" si="270">P452+O453</f>
        <v>-1460</v>
      </c>
      <c r="Q453" s="106"/>
      <c r="R453" s="107"/>
      <c r="S453" s="26">
        <f t="shared" ref="S453:S462" si="271">S452+R453</f>
        <v>-1460</v>
      </c>
      <c r="T453" s="136"/>
      <c r="U453" s="136"/>
      <c r="V453" s="45">
        <f t="shared" ref="V453:V462" si="272">V452+U453</f>
        <v>-1460</v>
      </c>
      <c r="W453" s="143"/>
    </row>
    <row r="454" spans="1:23" ht="15.75" customHeight="1">
      <c r="A454" s="114"/>
      <c r="B454" s="118"/>
      <c r="C454" s="117"/>
      <c r="D454" s="19">
        <f t="shared" si="266"/>
        <v>-1460</v>
      </c>
      <c r="E454" s="106"/>
      <c r="F454" s="107"/>
      <c r="G454" s="26">
        <f t="shared" si="267"/>
        <v>-1460</v>
      </c>
      <c r="H454" s="133"/>
      <c r="I454" s="117"/>
      <c r="J454" s="19">
        <f t="shared" si="268"/>
        <v>-1460</v>
      </c>
      <c r="K454" s="106"/>
      <c r="L454" s="107"/>
      <c r="M454" s="26">
        <f t="shared" si="269"/>
        <v>-1460</v>
      </c>
      <c r="N454" s="117"/>
      <c r="O454" s="117"/>
      <c r="P454" s="38">
        <f t="shared" si="270"/>
        <v>-1460</v>
      </c>
      <c r="Q454" s="106"/>
      <c r="R454" s="107"/>
      <c r="S454" s="26">
        <f t="shared" si="271"/>
        <v>-1460</v>
      </c>
      <c r="T454" s="136"/>
      <c r="U454" s="136"/>
      <c r="V454" s="45">
        <f t="shared" si="272"/>
        <v>-1460</v>
      </c>
      <c r="W454" s="143"/>
    </row>
    <row r="455" spans="1:23" ht="15.75" customHeight="1">
      <c r="A455" s="114"/>
      <c r="B455" s="118"/>
      <c r="C455" s="117"/>
      <c r="D455" s="19">
        <f t="shared" si="266"/>
        <v>-1460</v>
      </c>
      <c r="E455" s="106"/>
      <c r="F455" s="107"/>
      <c r="G455" s="26">
        <f t="shared" si="267"/>
        <v>-1460</v>
      </c>
      <c r="H455" s="133"/>
      <c r="I455" s="117"/>
      <c r="J455" s="19">
        <f t="shared" si="268"/>
        <v>-1460</v>
      </c>
      <c r="K455" s="106"/>
      <c r="L455" s="107"/>
      <c r="M455" s="26">
        <f t="shared" si="269"/>
        <v>-1460</v>
      </c>
      <c r="N455" s="117"/>
      <c r="O455" s="117"/>
      <c r="P455" s="38">
        <f t="shared" si="270"/>
        <v>-1460</v>
      </c>
      <c r="Q455" s="106"/>
      <c r="R455" s="107"/>
      <c r="S455" s="26">
        <f t="shared" si="271"/>
        <v>-1460</v>
      </c>
      <c r="T455" s="136"/>
      <c r="U455" s="136"/>
      <c r="V455" s="45">
        <f t="shared" si="272"/>
        <v>-1460</v>
      </c>
      <c r="W455" s="143"/>
    </row>
    <row r="456" spans="1:23" ht="15.75" customHeight="1">
      <c r="A456" s="114"/>
      <c r="B456" s="118"/>
      <c r="C456" s="117"/>
      <c r="D456" s="19">
        <f t="shared" si="266"/>
        <v>-1460</v>
      </c>
      <c r="E456" s="106"/>
      <c r="F456" s="107"/>
      <c r="G456" s="26">
        <f t="shared" si="267"/>
        <v>-1460</v>
      </c>
      <c r="H456" s="133"/>
      <c r="I456" s="117"/>
      <c r="J456" s="19">
        <f t="shared" si="268"/>
        <v>-1460</v>
      </c>
      <c r="K456" s="106"/>
      <c r="L456" s="107"/>
      <c r="M456" s="26">
        <f t="shared" si="269"/>
        <v>-1460</v>
      </c>
      <c r="N456" s="117"/>
      <c r="O456" s="117"/>
      <c r="P456" s="38">
        <f t="shared" si="270"/>
        <v>-1460</v>
      </c>
      <c r="Q456" s="106"/>
      <c r="R456" s="107"/>
      <c r="S456" s="26">
        <f t="shared" si="271"/>
        <v>-1460</v>
      </c>
      <c r="T456" s="136"/>
      <c r="U456" s="136"/>
      <c r="V456" s="45">
        <f t="shared" si="272"/>
        <v>-1460</v>
      </c>
      <c r="W456" s="143"/>
    </row>
    <row r="457" spans="1:23" ht="15.75" customHeight="1">
      <c r="A457" s="114"/>
      <c r="B457" s="118"/>
      <c r="C457" s="117"/>
      <c r="D457" s="19">
        <f t="shared" si="266"/>
        <v>-1460</v>
      </c>
      <c r="E457" s="106"/>
      <c r="F457" s="107"/>
      <c r="G457" s="26">
        <f t="shared" si="267"/>
        <v>-1460</v>
      </c>
      <c r="H457" s="133"/>
      <c r="I457" s="117"/>
      <c r="J457" s="19">
        <f t="shared" si="268"/>
        <v>-1460</v>
      </c>
      <c r="K457" s="106"/>
      <c r="L457" s="107"/>
      <c r="M457" s="26">
        <f t="shared" si="269"/>
        <v>-1460</v>
      </c>
      <c r="N457" s="117"/>
      <c r="O457" s="117"/>
      <c r="P457" s="38">
        <f t="shared" si="270"/>
        <v>-1460</v>
      </c>
      <c r="Q457" s="106"/>
      <c r="R457" s="107"/>
      <c r="S457" s="26">
        <f t="shared" si="271"/>
        <v>-1460</v>
      </c>
      <c r="T457" s="136"/>
      <c r="U457" s="136"/>
      <c r="V457" s="45">
        <f t="shared" si="272"/>
        <v>-1460</v>
      </c>
      <c r="W457" s="143"/>
    </row>
    <row r="458" spans="1:23" ht="15.75" customHeight="1">
      <c r="A458" s="114"/>
      <c r="B458" s="117"/>
      <c r="C458" s="117"/>
      <c r="D458" s="19">
        <f t="shared" si="266"/>
        <v>-1460</v>
      </c>
      <c r="E458" s="106"/>
      <c r="F458" s="107"/>
      <c r="G458" s="26">
        <f t="shared" si="267"/>
        <v>-1460</v>
      </c>
      <c r="H458" s="133"/>
      <c r="I458" s="117"/>
      <c r="J458" s="19">
        <f t="shared" si="268"/>
        <v>-1460</v>
      </c>
      <c r="K458" s="106"/>
      <c r="L458" s="107"/>
      <c r="M458" s="26">
        <f t="shared" si="269"/>
        <v>-1460</v>
      </c>
      <c r="N458" s="117"/>
      <c r="O458" s="117"/>
      <c r="P458" s="38">
        <f t="shared" si="270"/>
        <v>-1460</v>
      </c>
      <c r="Q458" s="106"/>
      <c r="R458" s="107"/>
      <c r="S458" s="26">
        <f t="shared" si="271"/>
        <v>-1460</v>
      </c>
      <c r="T458" s="136"/>
      <c r="U458" s="136"/>
      <c r="V458" s="45">
        <f t="shared" si="272"/>
        <v>-1460</v>
      </c>
      <c r="W458" s="143"/>
    </row>
    <row r="459" spans="1:23" ht="15.75" customHeight="1">
      <c r="A459" s="114"/>
      <c r="B459" s="117"/>
      <c r="C459" s="117"/>
      <c r="D459" s="19">
        <f t="shared" si="266"/>
        <v>-1460</v>
      </c>
      <c r="E459" s="106"/>
      <c r="F459" s="107"/>
      <c r="G459" s="26">
        <f t="shared" si="267"/>
        <v>-1460</v>
      </c>
      <c r="H459" s="133"/>
      <c r="I459" s="117"/>
      <c r="J459" s="19">
        <f t="shared" si="268"/>
        <v>-1460</v>
      </c>
      <c r="K459" s="106"/>
      <c r="L459" s="107"/>
      <c r="M459" s="26">
        <f t="shared" si="269"/>
        <v>-1460</v>
      </c>
      <c r="N459" s="117"/>
      <c r="O459" s="117"/>
      <c r="P459" s="38">
        <f t="shared" si="270"/>
        <v>-1460</v>
      </c>
      <c r="Q459" s="106"/>
      <c r="R459" s="107"/>
      <c r="S459" s="26">
        <f t="shared" si="271"/>
        <v>-1460</v>
      </c>
      <c r="T459" s="136"/>
      <c r="U459" s="136"/>
      <c r="V459" s="45">
        <f t="shared" si="272"/>
        <v>-1460</v>
      </c>
      <c r="W459" s="143"/>
    </row>
    <row r="460" spans="1:23" ht="15.75" customHeight="1">
      <c r="A460" s="114"/>
      <c r="B460" s="117"/>
      <c r="C460" s="117"/>
      <c r="D460" s="19">
        <f t="shared" si="266"/>
        <v>-1460</v>
      </c>
      <c r="E460" s="106"/>
      <c r="F460" s="107"/>
      <c r="G460" s="26">
        <f t="shared" si="267"/>
        <v>-1460</v>
      </c>
      <c r="H460" s="133"/>
      <c r="I460" s="117"/>
      <c r="J460" s="19">
        <f t="shared" si="268"/>
        <v>-1460</v>
      </c>
      <c r="K460" s="106"/>
      <c r="L460" s="107"/>
      <c r="M460" s="26">
        <f t="shared" si="269"/>
        <v>-1460</v>
      </c>
      <c r="N460" s="117"/>
      <c r="O460" s="117"/>
      <c r="P460" s="38">
        <f t="shared" si="270"/>
        <v>-1460</v>
      </c>
      <c r="Q460" s="106"/>
      <c r="R460" s="107"/>
      <c r="S460" s="26">
        <f t="shared" si="271"/>
        <v>-1460</v>
      </c>
      <c r="T460" s="136"/>
      <c r="U460" s="136"/>
      <c r="V460" s="45">
        <f t="shared" si="272"/>
        <v>-1460</v>
      </c>
      <c r="W460" s="143"/>
    </row>
    <row r="461" spans="1:23" ht="15.75" customHeight="1">
      <c r="A461" s="114"/>
      <c r="B461" s="117"/>
      <c r="C461" s="117"/>
      <c r="D461" s="19">
        <f t="shared" si="266"/>
        <v>-1460</v>
      </c>
      <c r="E461" s="122"/>
      <c r="F461" s="123"/>
      <c r="G461" s="26">
        <f t="shared" si="267"/>
        <v>-1460</v>
      </c>
      <c r="H461" s="133"/>
      <c r="I461" s="117"/>
      <c r="J461" s="19">
        <f t="shared" si="268"/>
        <v>-1460</v>
      </c>
      <c r="K461" s="122"/>
      <c r="L461" s="123"/>
      <c r="M461" s="26">
        <f t="shared" si="269"/>
        <v>-1460</v>
      </c>
      <c r="N461" s="117"/>
      <c r="O461" s="117"/>
      <c r="P461" s="38">
        <f t="shared" si="270"/>
        <v>-1460</v>
      </c>
      <c r="Q461" s="122"/>
      <c r="R461" s="123"/>
      <c r="S461" s="26">
        <f t="shared" si="271"/>
        <v>-1460</v>
      </c>
      <c r="T461" s="136"/>
      <c r="U461" s="136"/>
      <c r="V461" s="45">
        <f t="shared" si="272"/>
        <v>-1460</v>
      </c>
      <c r="W461" s="143"/>
    </row>
    <row r="462" spans="1:23" ht="15.75" customHeight="1">
      <c r="A462" s="114"/>
      <c r="B462" s="128"/>
      <c r="C462" s="128"/>
      <c r="D462" s="29">
        <f t="shared" si="266"/>
        <v>-1460</v>
      </c>
      <c r="E462" s="122"/>
      <c r="F462" s="123"/>
      <c r="G462" s="53">
        <f t="shared" si="267"/>
        <v>-1460</v>
      </c>
      <c r="H462" s="140"/>
      <c r="I462" s="128"/>
      <c r="J462" s="29">
        <f t="shared" si="268"/>
        <v>-1460</v>
      </c>
      <c r="K462" s="122"/>
      <c r="L462" s="123"/>
      <c r="M462" s="39">
        <f t="shared" si="269"/>
        <v>-1460</v>
      </c>
      <c r="N462" s="128"/>
      <c r="O462" s="128"/>
      <c r="P462" s="40">
        <f t="shared" si="270"/>
        <v>-1460</v>
      </c>
      <c r="Q462" s="122"/>
      <c r="R462" s="123"/>
      <c r="S462" s="39">
        <f t="shared" si="271"/>
        <v>-1460</v>
      </c>
      <c r="T462" s="141"/>
      <c r="U462" s="141"/>
      <c r="V462" s="46">
        <f t="shared" si="272"/>
        <v>-1460</v>
      </c>
      <c r="W462" s="143"/>
    </row>
    <row r="463" spans="1:23" ht="15.75" customHeight="1">
      <c r="A463" s="87"/>
      <c r="B463" s="77" t="str">
        <f ca="1">IFERROR(__xludf.DUMMYFUNCTION("DATE(VALUE(LEFT($B$2,4)),VALUE(MID($B$2,6,2)),VALUE(RIGHT($B$2,2)))
+ (VALUE(REGEXEXTRACT(INDIRECT(""A""&amp;ROW()+1),""\d+""))-1)*7
+ INT((COLUMN()-COLUMN($B463))/3)
"),"#VALUE!")</f>
        <v>#VALUE!</v>
      </c>
      <c r="C463" s="81"/>
      <c r="D463" s="82"/>
      <c r="E463" s="77" t="str">
        <f ca="1">IFERROR(__xludf.DUMMYFUNCTION("DATE(VALUE(LEFT($B$2,4)),VALUE(MID($B$2,6,2)),VALUE(RIGHT($B$2,2)))
+ (VALUE(REGEXEXTRACT(INDIRECT(""A""&amp;ROW()+1),""\d+""))-1)*7
+ INT((COLUMN()-COLUMN($B463))/3)
"),"#VALUE!")</f>
        <v>#VALUE!</v>
      </c>
      <c r="F463" s="81"/>
      <c r="G463" s="82"/>
      <c r="H463" s="77" t="str">
        <f ca="1">IFERROR(__xludf.DUMMYFUNCTION("DATE(VALUE(LEFT($B$2,4)),VALUE(MID($B$2,6,2)),VALUE(RIGHT($B$2,2)))
+ (VALUE(REGEXEXTRACT(INDIRECT(""A""&amp;ROW()+1),""\d+""))-1)*7
+ INT((COLUMN()-COLUMN($B463))/3)
"),"#VALUE!")</f>
        <v>#VALUE!</v>
      </c>
      <c r="I463" s="81"/>
      <c r="J463" s="82"/>
      <c r="K463" s="77" t="str">
        <f ca="1">IFERROR(__xludf.DUMMYFUNCTION("DATE(VALUE(LEFT($B$2,4)),VALUE(MID($B$2,6,2)),VALUE(RIGHT($B$2,2)))
+ (VALUE(REGEXEXTRACT(INDIRECT(""A""&amp;ROW()+1),""\d+""))-1)*7
+ INT((COLUMN()-COLUMN($B463))/3)
"),"#VALUE!")</f>
        <v>#VALUE!</v>
      </c>
      <c r="L463" s="81"/>
      <c r="M463" s="82"/>
      <c r="N463" s="77" t="str">
        <f ca="1">IFERROR(__xludf.DUMMYFUNCTION("DATE(VALUE(LEFT($B$2,4)),VALUE(MID($B$2,6,2)),VALUE(RIGHT($B$2,2)))
+ (VALUE(REGEXEXTRACT(INDIRECT(""A""&amp;ROW()+1),""\d+""))-1)*7
+ INT((COLUMN()-COLUMN($B463))/3)
"),"#VALUE!")</f>
        <v>#VALUE!</v>
      </c>
      <c r="O463" s="81"/>
      <c r="P463" s="82"/>
      <c r="Q463" s="77" t="str">
        <f ca="1">IFERROR(__xludf.DUMMYFUNCTION("DATE(VALUE(LEFT($B$2,4)),VALUE(MID($B$2,6,2)),VALUE(RIGHT($B$2,2)))
+ (VALUE(REGEXEXTRACT(INDIRECT(""A""&amp;ROW()+1),""\d+""))-1)*7
+ INT((COLUMN()-COLUMN($B463))/3)
"),"#VALUE!")</f>
        <v>#VALUE!</v>
      </c>
      <c r="R463" s="81"/>
      <c r="S463" s="82"/>
      <c r="T463" s="77" t="str">
        <f ca="1">IFERROR(__xludf.DUMMYFUNCTION("DATE(VALUE(LEFT($B$2,4)),VALUE(MID($B$2,6,2)),VALUE(RIGHT($B$2,2)))
+ (VALUE(REGEXEXTRACT(INDIRECT(""A""&amp;ROW()+1),""\d+""))-1)*7
+ INT((COLUMN()-COLUMN($B463))/3)
"),"#VALUE!")</f>
        <v>#VALUE!</v>
      </c>
      <c r="U463" s="81"/>
      <c r="V463" s="82"/>
      <c r="W463" s="143"/>
    </row>
    <row r="464" spans="1:23" ht="15.75" customHeight="1">
      <c r="A464" s="51" t="s">
        <v>168</v>
      </c>
      <c r="B464" s="112"/>
      <c r="C464" s="111"/>
      <c r="D464" s="17">
        <f>V462+C464</f>
        <v>-1460</v>
      </c>
      <c r="E464" s="109"/>
      <c r="F464" s="109"/>
      <c r="G464" s="54">
        <f>D474+F464</f>
        <v>-1460</v>
      </c>
      <c r="H464" s="110"/>
      <c r="I464" s="111"/>
      <c r="J464" s="17">
        <f>G474+I464</f>
        <v>-1460</v>
      </c>
      <c r="K464" s="109"/>
      <c r="L464" s="109"/>
      <c r="M464" s="54">
        <f>J474+L464</f>
        <v>-1460</v>
      </c>
      <c r="N464" s="112"/>
      <c r="O464" s="111"/>
      <c r="P464" s="17">
        <f>M474+O464</f>
        <v>-1460</v>
      </c>
      <c r="Q464" s="109"/>
      <c r="R464" s="109"/>
      <c r="S464" s="35">
        <f>P474+R464</f>
        <v>-1460</v>
      </c>
      <c r="T464" s="112"/>
      <c r="U464" s="111"/>
      <c r="V464" s="48">
        <f>S474+U464</f>
        <v>-1460</v>
      </c>
      <c r="W464" s="143"/>
    </row>
    <row r="465" spans="1:23" ht="15.75" customHeight="1">
      <c r="A465" s="114"/>
      <c r="B465" s="106"/>
      <c r="C465" s="107"/>
      <c r="D465" s="26">
        <f t="shared" ref="D465:D474" si="273">D464+C465</f>
        <v>-1460</v>
      </c>
      <c r="E465" s="117"/>
      <c r="F465" s="117"/>
      <c r="G465" s="19">
        <f t="shared" ref="G465:G474" si="274">G464+F465</f>
        <v>-1460</v>
      </c>
      <c r="H465" s="116"/>
      <c r="I465" s="107"/>
      <c r="J465" s="26">
        <f t="shared" ref="J465:J474" si="275">J464+I465</f>
        <v>-1460</v>
      </c>
      <c r="K465" s="117"/>
      <c r="L465" s="117"/>
      <c r="M465" s="19">
        <f t="shared" ref="M465:M474" si="276">M464+L465</f>
        <v>-1460</v>
      </c>
      <c r="N465" s="106"/>
      <c r="O465" s="107"/>
      <c r="P465" s="26">
        <f t="shared" ref="P465:P474" si="277">P464+O465</f>
        <v>-1460</v>
      </c>
      <c r="Q465" s="117"/>
      <c r="R465" s="117"/>
      <c r="S465" s="38">
        <f t="shared" ref="S465:S474" si="278">S464+R465</f>
        <v>-1460</v>
      </c>
      <c r="T465" s="106"/>
      <c r="U465" s="107"/>
      <c r="V465" s="20">
        <f t="shared" ref="V465:V474" si="279">V464+U465</f>
        <v>-1460</v>
      </c>
      <c r="W465" s="143"/>
    </row>
    <row r="466" spans="1:23" ht="15.75" customHeight="1">
      <c r="A466" s="114"/>
      <c r="B466" s="106"/>
      <c r="C466" s="107"/>
      <c r="D466" s="26">
        <f t="shared" si="273"/>
        <v>-1460</v>
      </c>
      <c r="E466" s="117"/>
      <c r="F466" s="117"/>
      <c r="G466" s="19">
        <f t="shared" si="274"/>
        <v>-1460</v>
      </c>
      <c r="H466" s="116"/>
      <c r="I466" s="107"/>
      <c r="J466" s="26">
        <f t="shared" si="275"/>
        <v>-1460</v>
      </c>
      <c r="K466" s="117"/>
      <c r="L466" s="117"/>
      <c r="M466" s="19">
        <f t="shared" si="276"/>
        <v>-1460</v>
      </c>
      <c r="N466" s="106"/>
      <c r="O466" s="107"/>
      <c r="P466" s="26">
        <f t="shared" si="277"/>
        <v>-1460</v>
      </c>
      <c r="Q466" s="117"/>
      <c r="R466" s="117"/>
      <c r="S466" s="38">
        <f t="shared" si="278"/>
        <v>-1460</v>
      </c>
      <c r="T466" s="106"/>
      <c r="U466" s="116"/>
      <c r="V466" s="20">
        <f t="shared" si="279"/>
        <v>-1460</v>
      </c>
      <c r="W466" s="143"/>
    </row>
    <row r="467" spans="1:23" ht="15.75" customHeight="1">
      <c r="A467" s="114"/>
      <c r="B467" s="106"/>
      <c r="C467" s="107"/>
      <c r="D467" s="26">
        <f t="shared" si="273"/>
        <v>-1460</v>
      </c>
      <c r="E467" s="117"/>
      <c r="F467" s="117"/>
      <c r="G467" s="19">
        <f t="shared" si="274"/>
        <v>-1460</v>
      </c>
      <c r="H467" s="116"/>
      <c r="I467" s="107"/>
      <c r="J467" s="26">
        <f t="shared" si="275"/>
        <v>-1460</v>
      </c>
      <c r="K467" s="117"/>
      <c r="L467" s="117"/>
      <c r="M467" s="19">
        <f t="shared" si="276"/>
        <v>-1460</v>
      </c>
      <c r="N467" s="106"/>
      <c r="O467" s="107"/>
      <c r="P467" s="26">
        <f t="shared" si="277"/>
        <v>-1460</v>
      </c>
      <c r="Q467" s="117"/>
      <c r="R467" s="117"/>
      <c r="S467" s="38">
        <f t="shared" si="278"/>
        <v>-1460</v>
      </c>
      <c r="T467" s="106"/>
      <c r="U467" s="116"/>
      <c r="V467" s="20">
        <f t="shared" si="279"/>
        <v>-1460</v>
      </c>
      <c r="W467" s="143"/>
    </row>
    <row r="468" spans="1:23" ht="15.75" customHeight="1">
      <c r="A468" s="114"/>
      <c r="B468" s="106"/>
      <c r="C468" s="107"/>
      <c r="D468" s="26">
        <f t="shared" si="273"/>
        <v>-1460</v>
      </c>
      <c r="E468" s="117"/>
      <c r="F468" s="117"/>
      <c r="G468" s="19">
        <f t="shared" si="274"/>
        <v>-1460</v>
      </c>
      <c r="H468" s="116"/>
      <c r="I468" s="107"/>
      <c r="J468" s="26">
        <f t="shared" si="275"/>
        <v>-1460</v>
      </c>
      <c r="K468" s="117"/>
      <c r="L468" s="117"/>
      <c r="M468" s="19">
        <f t="shared" si="276"/>
        <v>-1460</v>
      </c>
      <c r="N468" s="116"/>
      <c r="O468" s="107"/>
      <c r="P468" s="26">
        <f t="shared" si="277"/>
        <v>-1460</v>
      </c>
      <c r="Q468" s="117"/>
      <c r="R468" s="117"/>
      <c r="S468" s="38">
        <f t="shared" si="278"/>
        <v>-1460</v>
      </c>
      <c r="T468" s="106"/>
      <c r="U468" s="116"/>
      <c r="V468" s="20">
        <f t="shared" si="279"/>
        <v>-1460</v>
      </c>
      <c r="W468" s="143"/>
    </row>
    <row r="469" spans="1:23" ht="15.75" customHeight="1">
      <c r="A469" s="114"/>
      <c r="B469" s="106"/>
      <c r="C469" s="107"/>
      <c r="D469" s="26">
        <f t="shared" si="273"/>
        <v>-1460</v>
      </c>
      <c r="E469" s="117"/>
      <c r="F469" s="117"/>
      <c r="G469" s="19">
        <f t="shared" si="274"/>
        <v>-1460</v>
      </c>
      <c r="H469" s="116"/>
      <c r="I469" s="107"/>
      <c r="J469" s="26">
        <f t="shared" si="275"/>
        <v>-1460</v>
      </c>
      <c r="K469" s="117"/>
      <c r="L469" s="117"/>
      <c r="M469" s="19">
        <f t="shared" si="276"/>
        <v>-1460</v>
      </c>
      <c r="N469" s="116"/>
      <c r="O469" s="107"/>
      <c r="P469" s="26">
        <f t="shared" si="277"/>
        <v>-1460</v>
      </c>
      <c r="Q469" s="117"/>
      <c r="R469" s="117"/>
      <c r="S469" s="38">
        <f t="shared" si="278"/>
        <v>-1460</v>
      </c>
      <c r="T469" s="106"/>
      <c r="U469" s="116"/>
      <c r="V469" s="20">
        <f t="shared" si="279"/>
        <v>-1460</v>
      </c>
      <c r="W469" s="143"/>
    </row>
    <row r="470" spans="1:23" ht="15.75" customHeight="1">
      <c r="A470" s="114"/>
      <c r="B470" s="122"/>
      <c r="C470" s="123"/>
      <c r="D470" s="26">
        <f t="shared" si="273"/>
        <v>-1460</v>
      </c>
      <c r="E470" s="117"/>
      <c r="F470" s="117"/>
      <c r="G470" s="19">
        <f t="shared" si="274"/>
        <v>-1460</v>
      </c>
      <c r="H470" s="116"/>
      <c r="I470" s="107"/>
      <c r="J470" s="26">
        <f t="shared" si="275"/>
        <v>-1460</v>
      </c>
      <c r="K470" s="117"/>
      <c r="L470" s="117"/>
      <c r="M470" s="38">
        <f t="shared" si="276"/>
        <v>-1460</v>
      </c>
      <c r="N470" s="106"/>
      <c r="O470" s="107"/>
      <c r="P470" s="26">
        <f t="shared" si="277"/>
        <v>-1460</v>
      </c>
      <c r="Q470" s="117"/>
      <c r="R470" s="117"/>
      <c r="S470" s="38">
        <f t="shared" si="278"/>
        <v>-1460</v>
      </c>
      <c r="T470" s="106"/>
      <c r="U470" s="116"/>
      <c r="V470" s="20">
        <f t="shared" si="279"/>
        <v>-1460</v>
      </c>
      <c r="W470" s="143"/>
    </row>
    <row r="471" spans="1:23" ht="15.75" customHeight="1">
      <c r="A471" s="114"/>
      <c r="B471" s="122"/>
      <c r="C471" s="123"/>
      <c r="D471" s="26">
        <f t="shared" si="273"/>
        <v>-1460</v>
      </c>
      <c r="E471" s="117"/>
      <c r="F471" s="117"/>
      <c r="G471" s="19">
        <f t="shared" si="274"/>
        <v>-1460</v>
      </c>
      <c r="H471" s="116"/>
      <c r="I471" s="107"/>
      <c r="J471" s="26">
        <f t="shared" si="275"/>
        <v>-1460</v>
      </c>
      <c r="K471" s="117"/>
      <c r="L471" s="117"/>
      <c r="M471" s="38">
        <f t="shared" si="276"/>
        <v>-1460</v>
      </c>
      <c r="N471" s="106"/>
      <c r="O471" s="107"/>
      <c r="P471" s="26">
        <f t="shared" si="277"/>
        <v>-1460</v>
      </c>
      <c r="Q471" s="117"/>
      <c r="R471" s="117"/>
      <c r="S471" s="38">
        <f t="shared" si="278"/>
        <v>-1460</v>
      </c>
      <c r="T471" s="106"/>
      <c r="U471" s="116"/>
      <c r="V471" s="20">
        <f t="shared" si="279"/>
        <v>-1460</v>
      </c>
      <c r="W471" s="143"/>
    </row>
    <row r="472" spans="1:23" ht="15.75" customHeight="1">
      <c r="A472" s="114"/>
      <c r="B472" s="122"/>
      <c r="C472" s="123"/>
      <c r="D472" s="26">
        <f t="shared" si="273"/>
        <v>-1460</v>
      </c>
      <c r="E472" s="117"/>
      <c r="F472" s="117"/>
      <c r="G472" s="19">
        <f t="shared" si="274"/>
        <v>-1460</v>
      </c>
      <c r="H472" s="124"/>
      <c r="I472" s="123"/>
      <c r="J472" s="26">
        <f t="shared" si="275"/>
        <v>-1460</v>
      </c>
      <c r="K472" s="117"/>
      <c r="L472" s="117"/>
      <c r="M472" s="38">
        <f t="shared" si="276"/>
        <v>-1460</v>
      </c>
      <c r="N472" s="122"/>
      <c r="O472" s="123"/>
      <c r="P472" s="26">
        <f t="shared" si="277"/>
        <v>-1460</v>
      </c>
      <c r="Q472" s="117"/>
      <c r="R472" s="117"/>
      <c r="S472" s="38">
        <f t="shared" si="278"/>
        <v>-1460</v>
      </c>
      <c r="T472" s="106"/>
      <c r="U472" s="116"/>
      <c r="V472" s="20">
        <f t="shared" si="279"/>
        <v>-1460</v>
      </c>
      <c r="W472" s="143"/>
    </row>
    <row r="473" spans="1:23" ht="15.75" customHeight="1">
      <c r="A473" s="114"/>
      <c r="B473" s="122"/>
      <c r="C473" s="123"/>
      <c r="D473" s="26">
        <f t="shared" si="273"/>
        <v>-1460</v>
      </c>
      <c r="E473" s="117"/>
      <c r="F473" s="117"/>
      <c r="G473" s="19">
        <f t="shared" si="274"/>
        <v>-1460</v>
      </c>
      <c r="H473" s="124"/>
      <c r="I473" s="123"/>
      <c r="J473" s="26">
        <f t="shared" si="275"/>
        <v>-1460</v>
      </c>
      <c r="K473" s="117"/>
      <c r="L473" s="117"/>
      <c r="M473" s="38">
        <f t="shared" si="276"/>
        <v>-1460</v>
      </c>
      <c r="N473" s="122"/>
      <c r="O473" s="123"/>
      <c r="P473" s="26">
        <f t="shared" si="277"/>
        <v>-1460</v>
      </c>
      <c r="Q473" s="117"/>
      <c r="R473" s="117"/>
      <c r="S473" s="38">
        <f t="shared" si="278"/>
        <v>-1460</v>
      </c>
      <c r="T473" s="122"/>
      <c r="U473" s="124"/>
      <c r="V473" s="20">
        <f t="shared" si="279"/>
        <v>-1460</v>
      </c>
      <c r="W473" s="143"/>
    </row>
    <row r="474" spans="1:23" ht="15.75" customHeight="1">
      <c r="A474" s="114"/>
      <c r="B474" s="122"/>
      <c r="C474" s="123"/>
      <c r="D474" s="39">
        <f t="shared" si="273"/>
        <v>-1460</v>
      </c>
      <c r="E474" s="128"/>
      <c r="F474" s="128"/>
      <c r="G474" s="55">
        <f t="shared" si="274"/>
        <v>-1460</v>
      </c>
      <c r="H474" s="124"/>
      <c r="I474" s="123"/>
      <c r="J474" s="39">
        <f t="shared" si="275"/>
        <v>-1460</v>
      </c>
      <c r="K474" s="128"/>
      <c r="L474" s="128"/>
      <c r="M474" s="40">
        <f t="shared" si="276"/>
        <v>-1460</v>
      </c>
      <c r="N474" s="122"/>
      <c r="O474" s="123"/>
      <c r="P474" s="39">
        <f t="shared" si="277"/>
        <v>-1460</v>
      </c>
      <c r="Q474" s="128"/>
      <c r="R474" s="128"/>
      <c r="S474" s="40">
        <f t="shared" si="278"/>
        <v>-1460</v>
      </c>
      <c r="T474" s="122"/>
      <c r="U474" s="123"/>
      <c r="V474" s="49">
        <f t="shared" si="279"/>
        <v>-1460</v>
      </c>
      <c r="W474" s="143"/>
    </row>
    <row r="475" spans="1:23" ht="15.75" customHeight="1">
      <c r="A475" s="87"/>
      <c r="B475" s="77" t="str">
        <f ca="1">IFERROR(__xludf.DUMMYFUNCTION("DATE(VALUE(LEFT($B$2,4)),VALUE(MID($B$2,6,2)),VALUE(RIGHT($B$2,2)))
+ (VALUE(REGEXEXTRACT(INDIRECT(""A""&amp;ROW()+1),""\d+""))-1)*7
+ INT((COLUMN()-COLUMN($B475))/3)
"),"#VALUE!")</f>
        <v>#VALUE!</v>
      </c>
      <c r="C475" s="81"/>
      <c r="D475" s="82"/>
      <c r="E475" s="77" t="str">
        <f ca="1">IFERROR(__xludf.DUMMYFUNCTION("DATE(VALUE(LEFT($B$2,4)),VALUE(MID($B$2,6,2)),VALUE(RIGHT($B$2,2)))
+ (VALUE(REGEXEXTRACT(INDIRECT(""A""&amp;ROW()+1),""\d+""))-1)*7
+ INT((COLUMN()-COLUMN($B475))/3)
"),"#VALUE!")</f>
        <v>#VALUE!</v>
      </c>
      <c r="F475" s="81"/>
      <c r="G475" s="82"/>
      <c r="H475" s="77" t="str">
        <f ca="1">IFERROR(__xludf.DUMMYFUNCTION("DATE(VALUE(LEFT($B$2,4)),VALUE(MID($B$2,6,2)),VALUE(RIGHT($B$2,2)))
+ (VALUE(REGEXEXTRACT(INDIRECT(""A""&amp;ROW()+1),""\d+""))-1)*7
+ INT((COLUMN()-COLUMN($B475))/3)
"),"#VALUE!")</f>
        <v>#VALUE!</v>
      </c>
      <c r="I475" s="81"/>
      <c r="J475" s="82"/>
      <c r="K475" s="77" t="str">
        <f ca="1">IFERROR(__xludf.DUMMYFUNCTION("DATE(VALUE(LEFT($B$2,4)),VALUE(MID($B$2,6,2)),VALUE(RIGHT($B$2,2)))
+ (VALUE(REGEXEXTRACT(INDIRECT(""A""&amp;ROW()+1),""\d+""))-1)*7
+ INT((COLUMN()-COLUMN($B475))/3)
"),"#VALUE!")</f>
        <v>#VALUE!</v>
      </c>
      <c r="L475" s="81"/>
      <c r="M475" s="82"/>
      <c r="N475" s="77" t="str">
        <f ca="1">IFERROR(__xludf.DUMMYFUNCTION("DATE(VALUE(LEFT($B$2,4)),VALUE(MID($B$2,6,2)),VALUE(RIGHT($B$2,2)))
+ (VALUE(REGEXEXTRACT(INDIRECT(""A""&amp;ROW()+1),""\d+""))-1)*7
+ INT((COLUMN()-COLUMN($B475))/3)
"),"#VALUE!")</f>
        <v>#VALUE!</v>
      </c>
      <c r="O475" s="81"/>
      <c r="P475" s="82"/>
      <c r="Q475" s="77" t="str">
        <f ca="1">IFERROR(__xludf.DUMMYFUNCTION("DATE(VALUE(LEFT($B$2,4)),VALUE(MID($B$2,6,2)),VALUE(RIGHT($B$2,2)))
+ (VALUE(REGEXEXTRACT(INDIRECT(""A""&amp;ROW()+1),""\d+""))-1)*7
+ INT((COLUMN()-COLUMN($B475))/3)
"),"#VALUE!")</f>
        <v>#VALUE!</v>
      </c>
      <c r="R475" s="81"/>
      <c r="S475" s="82"/>
      <c r="T475" s="77" t="str">
        <f ca="1">IFERROR(__xludf.DUMMYFUNCTION("DATE(VALUE(LEFT($B$2,4)),VALUE(MID($B$2,6,2)),VALUE(RIGHT($B$2,2)))
+ (VALUE(REGEXEXTRACT(INDIRECT(""A""&amp;ROW()+1),""\d+""))-1)*7
+ INT((COLUMN()-COLUMN($B475))/3)
"),"#VALUE!")</f>
        <v>#VALUE!</v>
      </c>
      <c r="U475" s="81"/>
      <c r="V475" s="82"/>
      <c r="W475" s="52" t="s">
        <v>20</v>
      </c>
    </row>
    <row r="476" spans="1:23" ht="15.75" customHeight="1">
      <c r="A476" s="47" t="s">
        <v>169</v>
      </c>
      <c r="B476" s="113"/>
      <c r="C476" s="109"/>
      <c r="D476" s="42">
        <f>V474+C476</f>
        <v>-1460</v>
      </c>
      <c r="E476" s="112"/>
      <c r="F476" s="111"/>
      <c r="G476" s="36">
        <f>D486+F476</f>
        <v>-1460</v>
      </c>
      <c r="H476" s="132"/>
      <c r="I476" s="109"/>
      <c r="J476" s="42">
        <f>G486+I476</f>
        <v>-1460</v>
      </c>
      <c r="K476" s="112"/>
      <c r="L476" s="111"/>
      <c r="M476" s="18">
        <f>J486+L476</f>
        <v>-1460</v>
      </c>
      <c r="N476" s="113"/>
      <c r="O476" s="109"/>
      <c r="P476" s="35">
        <f>M486+O476</f>
        <v>-1460</v>
      </c>
      <c r="Q476" s="112"/>
      <c r="R476" s="111"/>
      <c r="S476" s="18">
        <f>P486+R476</f>
        <v>-1460</v>
      </c>
      <c r="T476" s="173"/>
      <c r="U476" s="173"/>
      <c r="V476" s="50">
        <f>S486+U476</f>
        <v>-1460</v>
      </c>
      <c r="W476" s="172"/>
    </row>
    <row r="477" spans="1:23" ht="15.75" customHeight="1">
      <c r="A477" s="114"/>
      <c r="B477" s="118"/>
      <c r="C477" s="117"/>
      <c r="D477" s="19">
        <f t="shared" ref="D477:D486" si="280">D476+C477</f>
        <v>-1460</v>
      </c>
      <c r="E477" s="106"/>
      <c r="F477" s="107"/>
      <c r="G477" s="26">
        <f t="shared" ref="G477:G486" si="281">G476+F477</f>
        <v>-1460</v>
      </c>
      <c r="H477" s="133"/>
      <c r="I477" s="117"/>
      <c r="J477" s="19">
        <f t="shared" ref="J477:J486" si="282">J476+I477</f>
        <v>-1460</v>
      </c>
      <c r="K477" s="106"/>
      <c r="L477" s="107"/>
      <c r="M477" s="26">
        <f t="shared" ref="M477:M486" si="283">M476+L477</f>
        <v>-1460</v>
      </c>
      <c r="N477" s="118"/>
      <c r="O477" s="117"/>
      <c r="P477" s="38">
        <f t="shared" ref="P477:P486" si="284">P476+O477</f>
        <v>-1460</v>
      </c>
      <c r="Q477" s="106"/>
      <c r="R477" s="107"/>
      <c r="S477" s="26">
        <f t="shared" ref="S477:S486" si="285">S476+R477</f>
        <v>-1460</v>
      </c>
      <c r="T477" s="136"/>
      <c r="U477" s="136"/>
      <c r="V477" s="45">
        <f t="shared" ref="V477:V486" si="286">V476+U477</f>
        <v>-1460</v>
      </c>
      <c r="W477" s="143"/>
    </row>
    <row r="478" spans="1:23" ht="15.75" customHeight="1">
      <c r="A478" s="114"/>
      <c r="B478" s="118"/>
      <c r="C478" s="117"/>
      <c r="D478" s="19">
        <f t="shared" si="280"/>
        <v>-1460</v>
      </c>
      <c r="E478" s="106"/>
      <c r="F478" s="107"/>
      <c r="G478" s="26">
        <f t="shared" si="281"/>
        <v>-1460</v>
      </c>
      <c r="H478" s="133"/>
      <c r="I478" s="117"/>
      <c r="J478" s="19">
        <f t="shared" si="282"/>
        <v>-1460</v>
      </c>
      <c r="K478" s="106"/>
      <c r="L478" s="107"/>
      <c r="M478" s="26">
        <f t="shared" si="283"/>
        <v>-1460</v>
      </c>
      <c r="N478" s="117"/>
      <c r="O478" s="117"/>
      <c r="P478" s="38">
        <f t="shared" si="284"/>
        <v>-1460</v>
      </c>
      <c r="Q478" s="106"/>
      <c r="R478" s="107"/>
      <c r="S478" s="26">
        <f t="shared" si="285"/>
        <v>-1460</v>
      </c>
      <c r="T478" s="136"/>
      <c r="U478" s="136"/>
      <c r="V478" s="45">
        <f t="shared" si="286"/>
        <v>-1460</v>
      </c>
      <c r="W478" s="143"/>
    </row>
    <row r="479" spans="1:23" ht="15.75" customHeight="1">
      <c r="A479" s="114"/>
      <c r="B479" s="118"/>
      <c r="C479" s="117"/>
      <c r="D479" s="19">
        <f t="shared" si="280"/>
        <v>-1460</v>
      </c>
      <c r="E479" s="106"/>
      <c r="F479" s="107"/>
      <c r="G479" s="26">
        <f t="shared" si="281"/>
        <v>-1460</v>
      </c>
      <c r="H479" s="133"/>
      <c r="I479" s="117"/>
      <c r="J479" s="19">
        <f t="shared" si="282"/>
        <v>-1460</v>
      </c>
      <c r="K479" s="106"/>
      <c r="L479" s="107"/>
      <c r="M479" s="26">
        <f t="shared" si="283"/>
        <v>-1460</v>
      </c>
      <c r="N479" s="117"/>
      <c r="O479" s="117"/>
      <c r="P479" s="38">
        <f t="shared" si="284"/>
        <v>-1460</v>
      </c>
      <c r="Q479" s="106"/>
      <c r="R479" s="107"/>
      <c r="S479" s="26">
        <f t="shared" si="285"/>
        <v>-1460</v>
      </c>
      <c r="T479" s="136"/>
      <c r="U479" s="136"/>
      <c r="V479" s="45">
        <f t="shared" si="286"/>
        <v>-1460</v>
      </c>
      <c r="W479" s="143"/>
    </row>
    <row r="480" spans="1:23" ht="15.75" customHeight="1">
      <c r="A480" s="114"/>
      <c r="B480" s="118"/>
      <c r="C480" s="117"/>
      <c r="D480" s="19">
        <f t="shared" si="280"/>
        <v>-1460</v>
      </c>
      <c r="E480" s="106"/>
      <c r="F480" s="107"/>
      <c r="G480" s="26">
        <f t="shared" si="281"/>
        <v>-1460</v>
      </c>
      <c r="H480" s="133"/>
      <c r="I480" s="117"/>
      <c r="J480" s="19">
        <f t="shared" si="282"/>
        <v>-1460</v>
      </c>
      <c r="K480" s="106"/>
      <c r="L480" s="107"/>
      <c r="M480" s="26">
        <f t="shared" si="283"/>
        <v>-1460</v>
      </c>
      <c r="N480" s="117"/>
      <c r="O480" s="117"/>
      <c r="P480" s="38">
        <f t="shared" si="284"/>
        <v>-1460</v>
      </c>
      <c r="Q480" s="106"/>
      <c r="R480" s="107"/>
      <c r="S480" s="26">
        <f t="shared" si="285"/>
        <v>-1460</v>
      </c>
      <c r="T480" s="136"/>
      <c r="U480" s="136"/>
      <c r="V480" s="45">
        <f t="shared" si="286"/>
        <v>-1460</v>
      </c>
      <c r="W480" s="143"/>
    </row>
    <row r="481" spans="1:23" ht="15.75" customHeight="1">
      <c r="A481" s="114"/>
      <c r="B481" s="118"/>
      <c r="C481" s="117"/>
      <c r="D481" s="19">
        <f t="shared" si="280"/>
        <v>-1460</v>
      </c>
      <c r="E481" s="106"/>
      <c r="F481" s="107"/>
      <c r="G481" s="26">
        <f t="shared" si="281"/>
        <v>-1460</v>
      </c>
      <c r="H481" s="133"/>
      <c r="I481" s="117"/>
      <c r="J481" s="19">
        <f t="shared" si="282"/>
        <v>-1460</v>
      </c>
      <c r="K481" s="106"/>
      <c r="L481" s="107"/>
      <c r="M481" s="26">
        <f t="shared" si="283"/>
        <v>-1460</v>
      </c>
      <c r="N481" s="117"/>
      <c r="O481" s="117"/>
      <c r="P481" s="38">
        <f t="shared" si="284"/>
        <v>-1460</v>
      </c>
      <c r="Q481" s="106"/>
      <c r="R481" s="107"/>
      <c r="S481" s="26">
        <f t="shared" si="285"/>
        <v>-1460</v>
      </c>
      <c r="T481" s="136"/>
      <c r="U481" s="136"/>
      <c r="V481" s="45">
        <f t="shared" si="286"/>
        <v>-1460</v>
      </c>
      <c r="W481" s="143"/>
    </row>
    <row r="482" spans="1:23" ht="15.75" customHeight="1">
      <c r="A482" s="114"/>
      <c r="B482" s="117"/>
      <c r="C482" s="117"/>
      <c r="D482" s="19">
        <f t="shared" si="280"/>
        <v>-1460</v>
      </c>
      <c r="E482" s="106"/>
      <c r="F482" s="107"/>
      <c r="G482" s="26">
        <f t="shared" si="281"/>
        <v>-1460</v>
      </c>
      <c r="H482" s="133"/>
      <c r="I482" s="117"/>
      <c r="J482" s="19">
        <f t="shared" si="282"/>
        <v>-1460</v>
      </c>
      <c r="K482" s="106"/>
      <c r="L482" s="107"/>
      <c r="M482" s="26">
        <f t="shared" si="283"/>
        <v>-1460</v>
      </c>
      <c r="N482" s="117"/>
      <c r="O482" s="117"/>
      <c r="P482" s="38">
        <f t="shared" si="284"/>
        <v>-1460</v>
      </c>
      <c r="Q482" s="106"/>
      <c r="R482" s="107"/>
      <c r="S482" s="26">
        <f t="shared" si="285"/>
        <v>-1460</v>
      </c>
      <c r="T482" s="136"/>
      <c r="U482" s="136"/>
      <c r="V482" s="45">
        <f t="shared" si="286"/>
        <v>-1460</v>
      </c>
      <c r="W482" s="143"/>
    </row>
    <row r="483" spans="1:23" ht="15.75" customHeight="1">
      <c r="A483" s="114"/>
      <c r="B483" s="117"/>
      <c r="C483" s="117"/>
      <c r="D483" s="19">
        <f t="shared" si="280"/>
        <v>-1460</v>
      </c>
      <c r="E483" s="106"/>
      <c r="F483" s="107"/>
      <c r="G483" s="26">
        <f t="shared" si="281"/>
        <v>-1460</v>
      </c>
      <c r="H483" s="133"/>
      <c r="I483" s="117"/>
      <c r="J483" s="19">
        <f t="shared" si="282"/>
        <v>-1460</v>
      </c>
      <c r="K483" s="106"/>
      <c r="L483" s="107"/>
      <c r="M483" s="26">
        <f t="shared" si="283"/>
        <v>-1460</v>
      </c>
      <c r="N483" s="117"/>
      <c r="O483" s="117"/>
      <c r="P483" s="38">
        <f t="shared" si="284"/>
        <v>-1460</v>
      </c>
      <c r="Q483" s="106"/>
      <c r="R483" s="107"/>
      <c r="S483" s="26">
        <f t="shared" si="285"/>
        <v>-1460</v>
      </c>
      <c r="T483" s="136"/>
      <c r="U483" s="136"/>
      <c r="V483" s="45">
        <f t="shared" si="286"/>
        <v>-1460</v>
      </c>
      <c r="W483" s="143"/>
    </row>
    <row r="484" spans="1:23" ht="15.75" customHeight="1">
      <c r="A484" s="114"/>
      <c r="B484" s="117"/>
      <c r="C484" s="117"/>
      <c r="D484" s="19">
        <f t="shared" si="280"/>
        <v>-1460</v>
      </c>
      <c r="E484" s="106"/>
      <c r="F484" s="107"/>
      <c r="G484" s="26">
        <f t="shared" si="281"/>
        <v>-1460</v>
      </c>
      <c r="H484" s="133"/>
      <c r="I484" s="117"/>
      <c r="J484" s="19">
        <f t="shared" si="282"/>
        <v>-1460</v>
      </c>
      <c r="K484" s="106"/>
      <c r="L484" s="107"/>
      <c r="M484" s="26">
        <f t="shared" si="283"/>
        <v>-1460</v>
      </c>
      <c r="N484" s="117"/>
      <c r="O484" s="117"/>
      <c r="P484" s="38">
        <f t="shared" si="284"/>
        <v>-1460</v>
      </c>
      <c r="Q484" s="106"/>
      <c r="R484" s="107"/>
      <c r="S484" s="26">
        <f t="shared" si="285"/>
        <v>-1460</v>
      </c>
      <c r="T484" s="136"/>
      <c r="U484" s="136"/>
      <c r="V484" s="45">
        <f t="shared" si="286"/>
        <v>-1460</v>
      </c>
      <c r="W484" s="143"/>
    </row>
    <row r="485" spans="1:23" ht="15.75" customHeight="1">
      <c r="A485" s="114"/>
      <c r="B485" s="117"/>
      <c r="C485" s="117"/>
      <c r="D485" s="19">
        <f t="shared" si="280"/>
        <v>-1460</v>
      </c>
      <c r="E485" s="122"/>
      <c r="F485" s="123"/>
      <c r="G485" s="26">
        <f t="shared" si="281"/>
        <v>-1460</v>
      </c>
      <c r="H485" s="133"/>
      <c r="I485" s="117"/>
      <c r="J485" s="19">
        <f t="shared" si="282"/>
        <v>-1460</v>
      </c>
      <c r="K485" s="122"/>
      <c r="L485" s="123"/>
      <c r="M485" s="26">
        <f t="shared" si="283"/>
        <v>-1460</v>
      </c>
      <c r="N485" s="117"/>
      <c r="O485" s="117"/>
      <c r="P485" s="38">
        <f t="shared" si="284"/>
        <v>-1460</v>
      </c>
      <c r="Q485" s="122"/>
      <c r="R485" s="123"/>
      <c r="S485" s="26">
        <f t="shared" si="285"/>
        <v>-1460</v>
      </c>
      <c r="T485" s="136"/>
      <c r="U485" s="136"/>
      <c r="V485" s="45">
        <f t="shared" si="286"/>
        <v>-1460</v>
      </c>
      <c r="W485" s="143"/>
    </row>
    <row r="486" spans="1:23" ht="15.75" customHeight="1">
      <c r="A486" s="114"/>
      <c r="B486" s="128"/>
      <c r="C486" s="128"/>
      <c r="D486" s="29">
        <f t="shared" si="280"/>
        <v>-1460</v>
      </c>
      <c r="E486" s="122"/>
      <c r="F486" s="123"/>
      <c r="G486" s="53">
        <f t="shared" si="281"/>
        <v>-1460</v>
      </c>
      <c r="H486" s="140"/>
      <c r="I486" s="128"/>
      <c r="J486" s="29">
        <f t="shared" si="282"/>
        <v>-1460</v>
      </c>
      <c r="K486" s="122"/>
      <c r="L486" s="123"/>
      <c r="M486" s="39">
        <f t="shared" si="283"/>
        <v>-1460</v>
      </c>
      <c r="N486" s="128"/>
      <c r="O486" s="128"/>
      <c r="P486" s="40">
        <f t="shared" si="284"/>
        <v>-1460</v>
      </c>
      <c r="Q486" s="122"/>
      <c r="R486" s="123"/>
      <c r="S486" s="39">
        <f t="shared" si="285"/>
        <v>-1460</v>
      </c>
      <c r="T486" s="141"/>
      <c r="U486" s="141"/>
      <c r="V486" s="46">
        <f t="shared" si="286"/>
        <v>-1460</v>
      </c>
      <c r="W486" s="143"/>
    </row>
    <row r="487" spans="1:23" ht="15.75" customHeight="1">
      <c r="A487" s="87"/>
      <c r="B487" s="77" t="str">
        <f ca="1">IFERROR(__xludf.DUMMYFUNCTION("DATE(VALUE(LEFT($B$2,4)),VALUE(MID($B$2,6,2)),VALUE(RIGHT($B$2,2)))
+ (VALUE(REGEXEXTRACT(INDIRECT(""A""&amp;ROW()+1),""\d+""))-1)*7
+ INT((COLUMN()-COLUMN($B487))/3)
"),"#VALUE!")</f>
        <v>#VALUE!</v>
      </c>
      <c r="C487" s="81"/>
      <c r="D487" s="82"/>
      <c r="E487" s="77" t="str">
        <f ca="1">IFERROR(__xludf.DUMMYFUNCTION("DATE(VALUE(LEFT($B$2,4)),VALUE(MID($B$2,6,2)),VALUE(RIGHT($B$2,2)))
+ (VALUE(REGEXEXTRACT(INDIRECT(""A""&amp;ROW()+1),""\d+""))-1)*7
+ INT((COLUMN()-COLUMN($B487))/3)
"),"#VALUE!")</f>
        <v>#VALUE!</v>
      </c>
      <c r="F487" s="81"/>
      <c r="G487" s="82"/>
      <c r="H487" s="77" t="str">
        <f ca="1">IFERROR(__xludf.DUMMYFUNCTION("DATE(VALUE(LEFT($B$2,4)),VALUE(MID($B$2,6,2)),VALUE(RIGHT($B$2,2)))
+ (VALUE(REGEXEXTRACT(INDIRECT(""A""&amp;ROW()+1),""\d+""))-1)*7
+ INT((COLUMN()-COLUMN($B487))/3)
"),"#VALUE!")</f>
        <v>#VALUE!</v>
      </c>
      <c r="I487" s="81"/>
      <c r="J487" s="82"/>
      <c r="K487" s="77" t="str">
        <f ca="1">IFERROR(__xludf.DUMMYFUNCTION("DATE(VALUE(LEFT($B$2,4)),VALUE(MID($B$2,6,2)),VALUE(RIGHT($B$2,2)))
+ (VALUE(REGEXEXTRACT(INDIRECT(""A""&amp;ROW()+1),""\d+""))-1)*7
+ INT((COLUMN()-COLUMN($B487))/3)
"),"#VALUE!")</f>
        <v>#VALUE!</v>
      </c>
      <c r="L487" s="81"/>
      <c r="M487" s="82"/>
      <c r="N487" s="77" t="str">
        <f ca="1">IFERROR(__xludf.DUMMYFUNCTION("DATE(VALUE(LEFT($B$2,4)),VALUE(MID($B$2,6,2)),VALUE(RIGHT($B$2,2)))
+ (VALUE(REGEXEXTRACT(INDIRECT(""A""&amp;ROW()+1),""\d+""))-1)*7
+ INT((COLUMN()-COLUMN($B487))/3)
"),"#VALUE!")</f>
        <v>#VALUE!</v>
      </c>
      <c r="O487" s="81"/>
      <c r="P487" s="82"/>
      <c r="Q487" s="77" t="str">
        <f ca="1">IFERROR(__xludf.DUMMYFUNCTION("DATE(VALUE(LEFT($B$2,4)),VALUE(MID($B$2,6,2)),VALUE(RIGHT($B$2,2)))
+ (VALUE(REGEXEXTRACT(INDIRECT(""A""&amp;ROW()+1),""\d+""))-1)*7
+ INT((COLUMN()-COLUMN($B487))/3)
"),"#VALUE!")</f>
        <v>#VALUE!</v>
      </c>
      <c r="R487" s="81"/>
      <c r="S487" s="82"/>
      <c r="T487" s="77" t="str">
        <f ca="1">IFERROR(__xludf.DUMMYFUNCTION("DATE(VALUE(LEFT($B$2,4)),VALUE(MID($B$2,6,2)),VALUE(RIGHT($B$2,2)))
+ (VALUE(REGEXEXTRACT(INDIRECT(""A""&amp;ROW()+1),""\d+""))-1)*7
+ INT((COLUMN()-COLUMN($B487))/3)
"),"#VALUE!")</f>
        <v>#VALUE!</v>
      </c>
      <c r="U487" s="81"/>
      <c r="V487" s="82"/>
      <c r="W487" s="143"/>
    </row>
    <row r="488" spans="1:23" ht="15.75" customHeight="1">
      <c r="A488" s="51" t="s">
        <v>170</v>
      </c>
      <c r="B488" s="112"/>
      <c r="C488" s="111"/>
      <c r="D488" s="17">
        <f>V486+C488</f>
        <v>-1460</v>
      </c>
      <c r="E488" s="109"/>
      <c r="F488" s="109"/>
      <c r="G488" s="42">
        <f>D498+F488</f>
        <v>-1460</v>
      </c>
      <c r="H488" s="112"/>
      <c r="I488" s="111"/>
      <c r="J488" s="17">
        <f>G498+I488</f>
        <v>-1460</v>
      </c>
      <c r="K488" s="109"/>
      <c r="L488" s="109"/>
      <c r="M488" s="35">
        <f>J498+L488</f>
        <v>-1460</v>
      </c>
      <c r="N488" s="112"/>
      <c r="O488" s="111"/>
      <c r="P488" s="17">
        <f>M498+O488</f>
        <v>-1460</v>
      </c>
      <c r="Q488" s="109"/>
      <c r="R488" s="109"/>
      <c r="S488" s="35">
        <f>P498+R488</f>
        <v>-1460</v>
      </c>
      <c r="T488" s="112"/>
      <c r="U488" s="111"/>
      <c r="V488" s="48">
        <f>S498+U488</f>
        <v>-1460</v>
      </c>
      <c r="W488" s="143"/>
    </row>
    <row r="489" spans="1:23" ht="15.75" customHeight="1">
      <c r="A489" s="114"/>
      <c r="B489" s="106"/>
      <c r="C489" s="107"/>
      <c r="D489" s="26">
        <f t="shared" ref="D489:D498" si="287">D488+C489</f>
        <v>-1460</v>
      </c>
      <c r="E489" s="117"/>
      <c r="F489" s="117"/>
      <c r="G489" s="19">
        <f t="shared" ref="G489:G498" si="288">G488+F489</f>
        <v>-1460</v>
      </c>
      <c r="H489" s="106"/>
      <c r="I489" s="107"/>
      <c r="J489" s="26">
        <f t="shared" ref="J489:J498" si="289">J488+I489</f>
        <v>-1460</v>
      </c>
      <c r="K489" s="117"/>
      <c r="L489" s="117"/>
      <c r="M489" s="38">
        <f t="shared" ref="M489:M498" si="290">M488+L489</f>
        <v>-1460</v>
      </c>
      <c r="N489" s="106"/>
      <c r="O489" s="107"/>
      <c r="P489" s="26">
        <f t="shared" ref="P489:P498" si="291">P488+O489</f>
        <v>-1460</v>
      </c>
      <c r="Q489" s="117"/>
      <c r="R489" s="117"/>
      <c r="S489" s="38">
        <f t="shared" ref="S489:S498" si="292">S488+R489</f>
        <v>-1460</v>
      </c>
      <c r="T489" s="106"/>
      <c r="U489" s="107"/>
      <c r="V489" s="20">
        <f t="shared" ref="V489:V498" si="293">V488+U489</f>
        <v>-1460</v>
      </c>
      <c r="W489" s="143"/>
    </row>
    <row r="490" spans="1:23" ht="15.75" customHeight="1">
      <c r="A490" s="114"/>
      <c r="B490" s="106"/>
      <c r="C490" s="107"/>
      <c r="D490" s="26">
        <f t="shared" si="287"/>
        <v>-1460</v>
      </c>
      <c r="E490" s="117"/>
      <c r="F490" s="117"/>
      <c r="G490" s="19">
        <f t="shared" si="288"/>
        <v>-1460</v>
      </c>
      <c r="H490" s="106"/>
      <c r="I490" s="107"/>
      <c r="J490" s="26">
        <f t="shared" si="289"/>
        <v>-1460</v>
      </c>
      <c r="K490" s="117"/>
      <c r="L490" s="117"/>
      <c r="M490" s="38">
        <f t="shared" si="290"/>
        <v>-1460</v>
      </c>
      <c r="N490" s="106"/>
      <c r="O490" s="107"/>
      <c r="P490" s="26">
        <f t="shared" si="291"/>
        <v>-1460</v>
      </c>
      <c r="Q490" s="117"/>
      <c r="R490" s="117"/>
      <c r="S490" s="38">
        <f t="shared" si="292"/>
        <v>-1460</v>
      </c>
      <c r="T490" s="106"/>
      <c r="U490" s="116"/>
      <c r="V490" s="20">
        <f t="shared" si="293"/>
        <v>-1460</v>
      </c>
      <c r="W490" s="143"/>
    </row>
    <row r="491" spans="1:23" ht="15.75" customHeight="1">
      <c r="A491" s="114"/>
      <c r="B491" s="106"/>
      <c r="C491" s="107"/>
      <c r="D491" s="26">
        <f t="shared" si="287"/>
        <v>-1460</v>
      </c>
      <c r="E491" s="117"/>
      <c r="F491" s="117"/>
      <c r="G491" s="19">
        <f t="shared" si="288"/>
        <v>-1460</v>
      </c>
      <c r="H491" s="106"/>
      <c r="I491" s="107"/>
      <c r="J491" s="26">
        <f t="shared" si="289"/>
        <v>-1460</v>
      </c>
      <c r="K491" s="117"/>
      <c r="L491" s="117"/>
      <c r="M491" s="38">
        <f t="shared" si="290"/>
        <v>-1460</v>
      </c>
      <c r="N491" s="106"/>
      <c r="O491" s="107"/>
      <c r="P491" s="26">
        <f t="shared" si="291"/>
        <v>-1460</v>
      </c>
      <c r="Q491" s="117"/>
      <c r="R491" s="117"/>
      <c r="S491" s="38">
        <f t="shared" si="292"/>
        <v>-1460</v>
      </c>
      <c r="T491" s="106"/>
      <c r="U491" s="116"/>
      <c r="V491" s="20">
        <f t="shared" si="293"/>
        <v>-1460</v>
      </c>
      <c r="W491" s="143"/>
    </row>
    <row r="492" spans="1:23" ht="15.75" customHeight="1">
      <c r="A492" s="114"/>
      <c r="B492" s="106"/>
      <c r="C492" s="107"/>
      <c r="D492" s="26">
        <f t="shared" si="287"/>
        <v>-1460</v>
      </c>
      <c r="E492" s="117"/>
      <c r="F492" s="117"/>
      <c r="G492" s="19">
        <f t="shared" si="288"/>
        <v>-1460</v>
      </c>
      <c r="H492" s="106"/>
      <c r="I492" s="107"/>
      <c r="J492" s="26">
        <f t="shared" si="289"/>
        <v>-1460</v>
      </c>
      <c r="K492" s="117"/>
      <c r="L492" s="117"/>
      <c r="M492" s="38">
        <f t="shared" si="290"/>
        <v>-1460</v>
      </c>
      <c r="N492" s="106"/>
      <c r="O492" s="107"/>
      <c r="P492" s="26">
        <f t="shared" si="291"/>
        <v>-1460</v>
      </c>
      <c r="Q492" s="117"/>
      <c r="R492" s="117"/>
      <c r="S492" s="38">
        <f t="shared" si="292"/>
        <v>-1460</v>
      </c>
      <c r="T492" s="106"/>
      <c r="U492" s="116"/>
      <c r="V492" s="20">
        <f t="shared" si="293"/>
        <v>-1460</v>
      </c>
      <c r="W492" s="143"/>
    </row>
    <row r="493" spans="1:23" ht="15.75" customHeight="1">
      <c r="A493" s="114"/>
      <c r="B493" s="106"/>
      <c r="C493" s="107"/>
      <c r="D493" s="26">
        <f t="shared" si="287"/>
        <v>-1460</v>
      </c>
      <c r="E493" s="117"/>
      <c r="F493" s="117"/>
      <c r="G493" s="19">
        <f t="shared" si="288"/>
        <v>-1460</v>
      </c>
      <c r="H493" s="106"/>
      <c r="I493" s="107"/>
      <c r="J493" s="26">
        <f t="shared" si="289"/>
        <v>-1460</v>
      </c>
      <c r="K493" s="117"/>
      <c r="L493" s="117"/>
      <c r="M493" s="38">
        <f t="shared" si="290"/>
        <v>-1460</v>
      </c>
      <c r="N493" s="106"/>
      <c r="O493" s="107"/>
      <c r="P493" s="26">
        <f t="shared" si="291"/>
        <v>-1460</v>
      </c>
      <c r="Q493" s="117"/>
      <c r="R493" s="117"/>
      <c r="S493" s="38">
        <f t="shared" si="292"/>
        <v>-1460</v>
      </c>
      <c r="T493" s="106"/>
      <c r="U493" s="116"/>
      <c r="V493" s="20">
        <f t="shared" si="293"/>
        <v>-1460</v>
      </c>
      <c r="W493" s="143"/>
    </row>
    <row r="494" spans="1:23" ht="15.75" customHeight="1">
      <c r="A494" s="114"/>
      <c r="B494" s="106"/>
      <c r="C494" s="107"/>
      <c r="D494" s="26">
        <f t="shared" si="287"/>
        <v>-1460</v>
      </c>
      <c r="E494" s="117"/>
      <c r="F494" s="117"/>
      <c r="G494" s="19">
        <f t="shared" si="288"/>
        <v>-1460</v>
      </c>
      <c r="H494" s="106"/>
      <c r="I494" s="107"/>
      <c r="J494" s="26">
        <f t="shared" si="289"/>
        <v>-1460</v>
      </c>
      <c r="K494" s="117"/>
      <c r="L494" s="117"/>
      <c r="M494" s="38">
        <f t="shared" si="290"/>
        <v>-1460</v>
      </c>
      <c r="N494" s="106"/>
      <c r="O494" s="107"/>
      <c r="P494" s="26">
        <f t="shared" si="291"/>
        <v>-1460</v>
      </c>
      <c r="Q494" s="117"/>
      <c r="R494" s="117"/>
      <c r="S494" s="38">
        <f t="shared" si="292"/>
        <v>-1460</v>
      </c>
      <c r="T494" s="106"/>
      <c r="U494" s="116"/>
      <c r="V494" s="20">
        <f t="shared" si="293"/>
        <v>-1460</v>
      </c>
      <c r="W494" s="143"/>
    </row>
    <row r="495" spans="1:23" ht="15.75" customHeight="1">
      <c r="A495" s="114"/>
      <c r="B495" s="106"/>
      <c r="C495" s="107"/>
      <c r="D495" s="26">
        <f t="shared" si="287"/>
        <v>-1460</v>
      </c>
      <c r="E495" s="117"/>
      <c r="F495" s="117"/>
      <c r="G495" s="19">
        <f t="shared" si="288"/>
        <v>-1460</v>
      </c>
      <c r="H495" s="106"/>
      <c r="I495" s="107"/>
      <c r="J495" s="26">
        <f t="shared" si="289"/>
        <v>-1460</v>
      </c>
      <c r="K495" s="117"/>
      <c r="L495" s="117"/>
      <c r="M495" s="38">
        <f t="shared" si="290"/>
        <v>-1460</v>
      </c>
      <c r="N495" s="106"/>
      <c r="O495" s="107"/>
      <c r="P495" s="26">
        <f t="shared" si="291"/>
        <v>-1460</v>
      </c>
      <c r="Q495" s="117"/>
      <c r="R495" s="117"/>
      <c r="S495" s="38">
        <f t="shared" si="292"/>
        <v>-1460</v>
      </c>
      <c r="T495" s="106"/>
      <c r="U495" s="116"/>
      <c r="V495" s="20">
        <f t="shared" si="293"/>
        <v>-1460</v>
      </c>
      <c r="W495" s="143"/>
    </row>
    <row r="496" spans="1:23" ht="15.75" customHeight="1">
      <c r="A496" s="114"/>
      <c r="B496" s="106"/>
      <c r="C496" s="107"/>
      <c r="D496" s="26">
        <f t="shared" si="287"/>
        <v>-1460</v>
      </c>
      <c r="E496" s="117"/>
      <c r="F496" s="117"/>
      <c r="G496" s="19">
        <f t="shared" si="288"/>
        <v>-1460</v>
      </c>
      <c r="H496" s="122"/>
      <c r="I496" s="123"/>
      <c r="J496" s="26">
        <f t="shared" si="289"/>
        <v>-1460</v>
      </c>
      <c r="K496" s="117"/>
      <c r="L496" s="117"/>
      <c r="M496" s="38">
        <f t="shared" si="290"/>
        <v>-1460</v>
      </c>
      <c r="N496" s="122"/>
      <c r="O496" s="123"/>
      <c r="P496" s="26">
        <f t="shared" si="291"/>
        <v>-1460</v>
      </c>
      <c r="Q496" s="117"/>
      <c r="R496" s="117"/>
      <c r="S496" s="38">
        <f t="shared" si="292"/>
        <v>-1460</v>
      </c>
      <c r="T496" s="106"/>
      <c r="U496" s="116"/>
      <c r="V496" s="20">
        <f t="shared" si="293"/>
        <v>-1460</v>
      </c>
      <c r="W496" s="143"/>
    </row>
    <row r="497" spans="1:23" ht="15.75" customHeight="1">
      <c r="A497" s="114"/>
      <c r="B497" s="106"/>
      <c r="C497" s="107"/>
      <c r="D497" s="26">
        <f t="shared" si="287"/>
        <v>-1460</v>
      </c>
      <c r="E497" s="117"/>
      <c r="F497" s="117"/>
      <c r="G497" s="19">
        <f t="shared" si="288"/>
        <v>-1460</v>
      </c>
      <c r="H497" s="122"/>
      <c r="I497" s="123"/>
      <c r="J497" s="26">
        <f t="shared" si="289"/>
        <v>-1460</v>
      </c>
      <c r="K497" s="117"/>
      <c r="L497" s="117"/>
      <c r="M497" s="38">
        <f t="shared" si="290"/>
        <v>-1460</v>
      </c>
      <c r="N497" s="122"/>
      <c r="O497" s="123"/>
      <c r="P497" s="26">
        <f t="shared" si="291"/>
        <v>-1460</v>
      </c>
      <c r="Q497" s="117"/>
      <c r="R497" s="117"/>
      <c r="S497" s="38">
        <f t="shared" si="292"/>
        <v>-1460</v>
      </c>
      <c r="T497" s="122"/>
      <c r="U497" s="124"/>
      <c r="V497" s="20">
        <f t="shared" si="293"/>
        <v>-1460</v>
      </c>
      <c r="W497" s="143"/>
    </row>
    <row r="498" spans="1:23" ht="15.75" customHeight="1">
      <c r="A498" s="114"/>
      <c r="B498" s="122"/>
      <c r="C498" s="123"/>
      <c r="D498" s="39">
        <f t="shared" si="287"/>
        <v>-1460</v>
      </c>
      <c r="E498" s="128"/>
      <c r="F498" s="128"/>
      <c r="G498" s="29">
        <f t="shared" si="288"/>
        <v>-1460</v>
      </c>
      <c r="H498" s="122"/>
      <c r="I498" s="123"/>
      <c r="J498" s="39">
        <f t="shared" si="289"/>
        <v>-1460</v>
      </c>
      <c r="K498" s="128"/>
      <c r="L498" s="128"/>
      <c r="M498" s="40">
        <f t="shared" si="290"/>
        <v>-1460</v>
      </c>
      <c r="N498" s="122"/>
      <c r="O498" s="123"/>
      <c r="P498" s="39">
        <f t="shared" si="291"/>
        <v>-1460</v>
      </c>
      <c r="Q498" s="128"/>
      <c r="R498" s="128"/>
      <c r="S498" s="40">
        <f t="shared" si="292"/>
        <v>-1460</v>
      </c>
      <c r="T498" s="122"/>
      <c r="U498" s="123"/>
      <c r="V498" s="49">
        <f t="shared" si="293"/>
        <v>-1460</v>
      </c>
      <c r="W498" s="143"/>
    </row>
    <row r="499" spans="1:23" ht="15.75" customHeight="1">
      <c r="A499" s="87"/>
      <c r="B499" s="77" t="str">
        <f ca="1">IFERROR(__xludf.DUMMYFUNCTION("DATE(VALUE(LEFT($B$2,4)),VALUE(MID($B$2,6,2)),VALUE(RIGHT($B$2,2)))
+ (VALUE(REGEXEXTRACT(INDIRECT(""A""&amp;ROW()+1),""\d+""))-1)*7
+ INT((COLUMN()-COLUMN($B499))/3)
"),"#VALUE!")</f>
        <v>#VALUE!</v>
      </c>
      <c r="C499" s="81"/>
      <c r="D499" s="82"/>
      <c r="E499" s="77" t="str">
        <f ca="1">IFERROR(__xludf.DUMMYFUNCTION("DATE(VALUE(LEFT($B$2,4)),VALUE(MID($B$2,6,2)),VALUE(RIGHT($B$2,2)))
+ (VALUE(REGEXEXTRACT(INDIRECT(""A""&amp;ROW()+1),""\d+""))-1)*7
+ INT((COLUMN()-COLUMN($B499))/3)
"),"#VALUE!")</f>
        <v>#VALUE!</v>
      </c>
      <c r="F499" s="81"/>
      <c r="G499" s="82"/>
      <c r="H499" s="77" t="str">
        <f ca="1">IFERROR(__xludf.DUMMYFUNCTION("DATE(VALUE(LEFT($B$2,4)),VALUE(MID($B$2,6,2)),VALUE(RIGHT($B$2,2)))
+ (VALUE(REGEXEXTRACT(INDIRECT(""A""&amp;ROW()+1),""\d+""))-1)*7
+ INT((COLUMN()-COLUMN($B499))/3)
"),"#VALUE!")</f>
        <v>#VALUE!</v>
      </c>
      <c r="I499" s="81"/>
      <c r="J499" s="82"/>
      <c r="K499" s="77" t="str">
        <f ca="1">IFERROR(__xludf.DUMMYFUNCTION("DATE(VALUE(LEFT($B$2,4)),VALUE(MID($B$2,6,2)),VALUE(RIGHT($B$2,2)))
+ (VALUE(REGEXEXTRACT(INDIRECT(""A""&amp;ROW()+1),""\d+""))-1)*7
+ INT((COLUMN()-COLUMN($B499))/3)
"),"#VALUE!")</f>
        <v>#VALUE!</v>
      </c>
      <c r="L499" s="81"/>
      <c r="M499" s="82"/>
      <c r="N499" s="77" t="str">
        <f ca="1">IFERROR(__xludf.DUMMYFUNCTION("DATE(VALUE(LEFT($B$2,4)),VALUE(MID($B$2,6,2)),VALUE(RIGHT($B$2,2)))
+ (VALUE(REGEXEXTRACT(INDIRECT(""A""&amp;ROW()+1),""\d+""))-1)*7
+ INT((COLUMN()-COLUMN($B499))/3)
"),"#VALUE!")</f>
        <v>#VALUE!</v>
      </c>
      <c r="O499" s="81"/>
      <c r="P499" s="82"/>
      <c r="Q499" s="77" t="str">
        <f ca="1">IFERROR(__xludf.DUMMYFUNCTION("DATE(VALUE(LEFT($B$2,4)),VALUE(MID($B$2,6,2)),VALUE(RIGHT($B$2,2)))
+ (VALUE(REGEXEXTRACT(INDIRECT(""A""&amp;ROW()+1),""\d+""))-1)*7
+ INT((COLUMN()-COLUMN($B499))/3)
"),"#VALUE!")</f>
        <v>#VALUE!</v>
      </c>
      <c r="R499" s="81"/>
      <c r="S499" s="82"/>
      <c r="T499" s="77" t="str">
        <f ca="1">IFERROR(__xludf.DUMMYFUNCTION("DATE(VALUE(LEFT($B$2,4)),VALUE(MID($B$2,6,2)),VALUE(RIGHT($B$2,2)))
+ (VALUE(REGEXEXTRACT(INDIRECT(""A""&amp;ROW()+1),""\d+""))-1)*7
+ INT((COLUMN()-COLUMN($B499))/3)
"),"#VALUE!")</f>
        <v>#VALUE!</v>
      </c>
      <c r="U499" s="81"/>
      <c r="V499" s="82"/>
      <c r="W499" s="52" t="s">
        <v>20</v>
      </c>
    </row>
    <row r="500" spans="1:23" ht="15.75" customHeight="1">
      <c r="A500" s="47" t="s">
        <v>171</v>
      </c>
      <c r="B500" s="113"/>
      <c r="C500" s="109"/>
      <c r="D500" s="42">
        <f>V498+C500</f>
        <v>-1460</v>
      </c>
      <c r="E500" s="112"/>
      <c r="F500" s="111"/>
      <c r="G500" s="36">
        <f>D510+F500</f>
        <v>-1460</v>
      </c>
      <c r="H500" s="132"/>
      <c r="I500" s="109"/>
      <c r="J500" s="42">
        <f>G510+I500</f>
        <v>-1460</v>
      </c>
      <c r="K500" s="112"/>
      <c r="L500" s="111"/>
      <c r="M500" s="18">
        <f>J510+L500</f>
        <v>-1460</v>
      </c>
      <c r="N500" s="113"/>
      <c r="O500" s="109"/>
      <c r="P500" s="35">
        <f>M510+O500</f>
        <v>-1460</v>
      </c>
      <c r="Q500" s="112"/>
      <c r="R500" s="111"/>
      <c r="S500" s="18">
        <f>P510+R500</f>
        <v>-1460</v>
      </c>
      <c r="T500" s="173"/>
      <c r="U500" s="173"/>
      <c r="V500" s="50">
        <f>S510+U500</f>
        <v>-1460</v>
      </c>
      <c r="W500" s="172"/>
    </row>
    <row r="501" spans="1:23" ht="15.75" customHeight="1">
      <c r="A501" s="114"/>
      <c r="B501" s="118"/>
      <c r="C501" s="117"/>
      <c r="D501" s="19">
        <f t="shared" ref="D501:D510" si="294">D500+C501</f>
        <v>-1460</v>
      </c>
      <c r="E501" s="106"/>
      <c r="F501" s="107"/>
      <c r="G501" s="26">
        <f t="shared" ref="G501:G510" si="295">G500+F501</f>
        <v>-1460</v>
      </c>
      <c r="H501" s="133"/>
      <c r="I501" s="117"/>
      <c r="J501" s="19">
        <f t="shared" ref="J501:J510" si="296">J500+I501</f>
        <v>-1460</v>
      </c>
      <c r="K501" s="106"/>
      <c r="L501" s="107"/>
      <c r="M501" s="26">
        <f t="shared" ref="M501:M510" si="297">M500+L501</f>
        <v>-1460</v>
      </c>
      <c r="N501" s="118"/>
      <c r="O501" s="117"/>
      <c r="P501" s="38">
        <f t="shared" ref="P501:P510" si="298">P500+O501</f>
        <v>-1460</v>
      </c>
      <c r="Q501" s="106"/>
      <c r="R501" s="107"/>
      <c r="S501" s="26">
        <f t="shared" ref="S501:S510" si="299">S500+R501</f>
        <v>-1460</v>
      </c>
      <c r="T501" s="136"/>
      <c r="U501" s="136"/>
      <c r="V501" s="45">
        <f t="shared" ref="V501:V510" si="300">V500+U501</f>
        <v>-1460</v>
      </c>
      <c r="W501" s="143"/>
    </row>
    <row r="502" spans="1:23" ht="15.75" customHeight="1">
      <c r="A502" s="114"/>
      <c r="B502" s="118"/>
      <c r="C502" s="117"/>
      <c r="D502" s="19">
        <f t="shared" si="294"/>
        <v>-1460</v>
      </c>
      <c r="E502" s="106"/>
      <c r="F502" s="107"/>
      <c r="G502" s="26">
        <f t="shared" si="295"/>
        <v>-1460</v>
      </c>
      <c r="H502" s="133"/>
      <c r="I502" s="117"/>
      <c r="J502" s="19">
        <f t="shared" si="296"/>
        <v>-1460</v>
      </c>
      <c r="K502" s="106"/>
      <c r="L502" s="107"/>
      <c r="M502" s="26">
        <f t="shared" si="297"/>
        <v>-1460</v>
      </c>
      <c r="N502" s="117"/>
      <c r="O502" s="117"/>
      <c r="P502" s="38">
        <f t="shared" si="298"/>
        <v>-1460</v>
      </c>
      <c r="Q502" s="106"/>
      <c r="R502" s="107"/>
      <c r="S502" s="26">
        <f t="shared" si="299"/>
        <v>-1460</v>
      </c>
      <c r="T502" s="136"/>
      <c r="U502" s="136"/>
      <c r="V502" s="45">
        <f t="shared" si="300"/>
        <v>-1460</v>
      </c>
      <c r="W502" s="143"/>
    </row>
    <row r="503" spans="1:23" ht="15.75" customHeight="1">
      <c r="A503" s="114"/>
      <c r="B503" s="118"/>
      <c r="C503" s="117"/>
      <c r="D503" s="19">
        <f t="shared" si="294"/>
        <v>-1460</v>
      </c>
      <c r="E503" s="106"/>
      <c r="F503" s="107"/>
      <c r="G503" s="26">
        <f t="shared" si="295"/>
        <v>-1460</v>
      </c>
      <c r="H503" s="133"/>
      <c r="I503" s="117"/>
      <c r="J503" s="19">
        <f t="shared" si="296"/>
        <v>-1460</v>
      </c>
      <c r="K503" s="106"/>
      <c r="L503" s="107"/>
      <c r="M503" s="26">
        <f t="shared" si="297"/>
        <v>-1460</v>
      </c>
      <c r="N503" s="117"/>
      <c r="O503" s="117"/>
      <c r="P503" s="38">
        <f t="shared" si="298"/>
        <v>-1460</v>
      </c>
      <c r="Q503" s="106"/>
      <c r="R503" s="107"/>
      <c r="S503" s="26">
        <f t="shared" si="299"/>
        <v>-1460</v>
      </c>
      <c r="T503" s="136"/>
      <c r="U503" s="136"/>
      <c r="V503" s="45">
        <f t="shared" si="300"/>
        <v>-1460</v>
      </c>
      <c r="W503" s="143"/>
    </row>
    <row r="504" spans="1:23" ht="15.75" customHeight="1">
      <c r="A504" s="114"/>
      <c r="B504" s="118"/>
      <c r="C504" s="117"/>
      <c r="D504" s="19">
        <f t="shared" si="294"/>
        <v>-1460</v>
      </c>
      <c r="E504" s="106"/>
      <c r="F504" s="107"/>
      <c r="G504" s="26">
        <f t="shared" si="295"/>
        <v>-1460</v>
      </c>
      <c r="H504" s="133"/>
      <c r="I504" s="117"/>
      <c r="J504" s="19">
        <f t="shared" si="296"/>
        <v>-1460</v>
      </c>
      <c r="K504" s="106"/>
      <c r="L504" s="107"/>
      <c r="M504" s="26">
        <f t="shared" si="297"/>
        <v>-1460</v>
      </c>
      <c r="N504" s="117"/>
      <c r="O504" s="117"/>
      <c r="P504" s="38">
        <f t="shared" si="298"/>
        <v>-1460</v>
      </c>
      <c r="Q504" s="106"/>
      <c r="R504" s="107"/>
      <c r="S504" s="26">
        <f t="shared" si="299"/>
        <v>-1460</v>
      </c>
      <c r="T504" s="136"/>
      <c r="U504" s="136"/>
      <c r="V504" s="45">
        <f t="shared" si="300"/>
        <v>-1460</v>
      </c>
      <c r="W504" s="143"/>
    </row>
    <row r="505" spans="1:23" ht="15.75" customHeight="1">
      <c r="A505" s="114"/>
      <c r="B505" s="118"/>
      <c r="C505" s="117"/>
      <c r="D505" s="19">
        <f t="shared" si="294"/>
        <v>-1460</v>
      </c>
      <c r="E505" s="106"/>
      <c r="F505" s="107"/>
      <c r="G505" s="26">
        <f t="shared" si="295"/>
        <v>-1460</v>
      </c>
      <c r="H505" s="133"/>
      <c r="I505" s="117"/>
      <c r="J505" s="19">
        <f t="shared" si="296"/>
        <v>-1460</v>
      </c>
      <c r="K505" s="106"/>
      <c r="L505" s="107"/>
      <c r="M505" s="26">
        <f t="shared" si="297"/>
        <v>-1460</v>
      </c>
      <c r="N505" s="117"/>
      <c r="O505" s="117"/>
      <c r="P505" s="38">
        <f t="shared" si="298"/>
        <v>-1460</v>
      </c>
      <c r="Q505" s="106"/>
      <c r="R505" s="107"/>
      <c r="S505" s="26">
        <f t="shared" si="299"/>
        <v>-1460</v>
      </c>
      <c r="T505" s="136"/>
      <c r="U505" s="136"/>
      <c r="V505" s="45">
        <f t="shared" si="300"/>
        <v>-1460</v>
      </c>
      <c r="W505" s="143"/>
    </row>
    <row r="506" spans="1:23" ht="15.75" customHeight="1">
      <c r="A506" s="114"/>
      <c r="B506" s="117"/>
      <c r="C506" s="117"/>
      <c r="D506" s="19">
        <f t="shared" si="294"/>
        <v>-1460</v>
      </c>
      <c r="E506" s="106"/>
      <c r="F506" s="107"/>
      <c r="G506" s="26">
        <f t="shared" si="295"/>
        <v>-1460</v>
      </c>
      <c r="H506" s="133"/>
      <c r="I506" s="117"/>
      <c r="J506" s="19">
        <f t="shared" si="296"/>
        <v>-1460</v>
      </c>
      <c r="K506" s="106"/>
      <c r="L506" s="107"/>
      <c r="M506" s="26">
        <f t="shared" si="297"/>
        <v>-1460</v>
      </c>
      <c r="N506" s="117"/>
      <c r="O506" s="117"/>
      <c r="P506" s="38">
        <f t="shared" si="298"/>
        <v>-1460</v>
      </c>
      <c r="Q506" s="106"/>
      <c r="R506" s="107"/>
      <c r="S506" s="26">
        <f t="shared" si="299"/>
        <v>-1460</v>
      </c>
      <c r="T506" s="136"/>
      <c r="U506" s="136"/>
      <c r="V506" s="45">
        <f t="shared" si="300"/>
        <v>-1460</v>
      </c>
      <c r="W506" s="143"/>
    </row>
    <row r="507" spans="1:23" ht="15.75" customHeight="1">
      <c r="A507" s="114"/>
      <c r="B507" s="117"/>
      <c r="C507" s="117"/>
      <c r="D507" s="19">
        <f t="shared" si="294"/>
        <v>-1460</v>
      </c>
      <c r="E507" s="106"/>
      <c r="F507" s="107"/>
      <c r="G507" s="26">
        <f t="shared" si="295"/>
        <v>-1460</v>
      </c>
      <c r="H507" s="133"/>
      <c r="I507" s="117"/>
      <c r="J507" s="19">
        <f t="shared" si="296"/>
        <v>-1460</v>
      </c>
      <c r="K507" s="106"/>
      <c r="L507" s="107"/>
      <c r="M507" s="26">
        <f t="shared" si="297"/>
        <v>-1460</v>
      </c>
      <c r="N507" s="117"/>
      <c r="O507" s="117"/>
      <c r="P507" s="38">
        <f t="shared" si="298"/>
        <v>-1460</v>
      </c>
      <c r="Q507" s="106"/>
      <c r="R507" s="107"/>
      <c r="S507" s="26">
        <f t="shared" si="299"/>
        <v>-1460</v>
      </c>
      <c r="T507" s="136"/>
      <c r="U507" s="136"/>
      <c r="V507" s="45">
        <f t="shared" si="300"/>
        <v>-1460</v>
      </c>
      <c r="W507" s="143"/>
    </row>
    <row r="508" spans="1:23" ht="15.75" customHeight="1">
      <c r="A508" s="114"/>
      <c r="B508" s="117"/>
      <c r="C508" s="117"/>
      <c r="D508" s="19">
        <f t="shared" si="294"/>
        <v>-1460</v>
      </c>
      <c r="E508" s="106"/>
      <c r="F508" s="107"/>
      <c r="G508" s="26">
        <f t="shared" si="295"/>
        <v>-1460</v>
      </c>
      <c r="H508" s="133"/>
      <c r="I508" s="117"/>
      <c r="J508" s="19">
        <f t="shared" si="296"/>
        <v>-1460</v>
      </c>
      <c r="K508" s="106"/>
      <c r="L508" s="107"/>
      <c r="M508" s="26">
        <f t="shared" si="297"/>
        <v>-1460</v>
      </c>
      <c r="N508" s="117"/>
      <c r="O508" s="117"/>
      <c r="P508" s="38">
        <f t="shared" si="298"/>
        <v>-1460</v>
      </c>
      <c r="Q508" s="106"/>
      <c r="R508" s="107"/>
      <c r="S508" s="26">
        <f t="shared" si="299"/>
        <v>-1460</v>
      </c>
      <c r="T508" s="136"/>
      <c r="U508" s="136"/>
      <c r="V508" s="45">
        <f t="shared" si="300"/>
        <v>-1460</v>
      </c>
      <c r="W508" s="143"/>
    </row>
    <row r="509" spans="1:23" ht="15.75" customHeight="1">
      <c r="A509" s="114"/>
      <c r="B509" s="117"/>
      <c r="C509" s="117"/>
      <c r="D509" s="19">
        <f t="shared" si="294"/>
        <v>-1460</v>
      </c>
      <c r="E509" s="122"/>
      <c r="F509" s="123"/>
      <c r="G509" s="26">
        <f t="shared" si="295"/>
        <v>-1460</v>
      </c>
      <c r="H509" s="133"/>
      <c r="I509" s="117"/>
      <c r="J509" s="19">
        <f t="shared" si="296"/>
        <v>-1460</v>
      </c>
      <c r="K509" s="122"/>
      <c r="L509" s="123"/>
      <c r="M509" s="26">
        <f t="shared" si="297"/>
        <v>-1460</v>
      </c>
      <c r="N509" s="117"/>
      <c r="O509" s="117"/>
      <c r="P509" s="38">
        <f t="shared" si="298"/>
        <v>-1460</v>
      </c>
      <c r="Q509" s="122"/>
      <c r="R509" s="123"/>
      <c r="S509" s="26">
        <f t="shared" si="299"/>
        <v>-1460</v>
      </c>
      <c r="T509" s="136"/>
      <c r="U509" s="136"/>
      <c r="V509" s="45">
        <f t="shared" si="300"/>
        <v>-1460</v>
      </c>
      <c r="W509" s="143"/>
    </row>
    <row r="510" spans="1:23" ht="15.75" customHeight="1">
      <c r="A510" s="114"/>
      <c r="B510" s="128"/>
      <c r="C510" s="128"/>
      <c r="D510" s="29">
        <f t="shared" si="294"/>
        <v>-1460</v>
      </c>
      <c r="E510" s="122"/>
      <c r="F510" s="123"/>
      <c r="G510" s="53">
        <f t="shared" si="295"/>
        <v>-1460</v>
      </c>
      <c r="H510" s="140"/>
      <c r="I510" s="128"/>
      <c r="J510" s="29">
        <f t="shared" si="296"/>
        <v>-1460</v>
      </c>
      <c r="K510" s="122"/>
      <c r="L510" s="123"/>
      <c r="M510" s="39">
        <f t="shared" si="297"/>
        <v>-1460</v>
      </c>
      <c r="N510" s="128"/>
      <c r="O510" s="128"/>
      <c r="P510" s="40">
        <f t="shared" si="298"/>
        <v>-1460</v>
      </c>
      <c r="Q510" s="122"/>
      <c r="R510" s="123"/>
      <c r="S510" s="39">
        <f t="shared" si="299"/>
        <v>-1460</v>
      </c>
      <c r="T510" s="141"/>
      <c r="U510" s="141"/>
      <c r="V510" s="46">
        <f t="shared" si="300"/>
        <v>-1460</v>
      </c>
      <c r="W510" s="143"/>
    </row>
    <row r="511" spans="1:23" ht="15.75" customHeight="1">
      <c r="A511" s="87"/>
      <c r="B511" s="77" t="str">
        <f ca="1">IFERROR(__xludf.DUMMYFUNCTION("DATE(VALUE(LEFT($B$2,4)),VALUE(MID($B$2,6,2)),VALUE(RIGHT($B$2,2)))
+ (VALUE(REGEXEXTRACT(INDIRECT(""A""&amp;ROW()+1),""\d+""))-1)*7
+ INT((COLUMN()-COLUMN($B511))/3)
"),"#VALUE!")</f>
        <v>#VALUE!</v>
      </c>
      <c r="C511" s="81"/>
      <c r="D511" s="82"/>
      <c r="E511" s="77" t="str">
        <f ca="1">IFERROR(__xludf.DUMMYFUNCTION("DATE(VALUE(LEFT($B$2,4)),VALUE(MID($B$2,6,2)),VALUE(RIGHT($B$2,2)))
+ (VALUE(REGEXEXTRACT(INDIRECT(""A""&amp;ROW()+1),""\d+""))-1)*7
+ INT((COLUMN()-COLUMN($B511))/3)
"),"#VALUE!")</f>
        <v>#VALUE!</v>
      </c>
      <c r="F511" s="81"/>
      <c r="G511" s="82"/>
      <c r="H511" s="77" t="str">
        <f ca="1">IFERROR(__xludf.DUMMYFUNCTION("DATE(VALUE(LEFT($B$2,4)),VALUE(MID($B$2,6,2)),VALUE(RIGHT($B$2,2)))
+ (VALUE(REGEXEXTRACT(INDIRECT(""A""&amp;ROW()+1),""\d+""))-1)*7
+ INT((COLUMN()-COLUMN($B511))/3)
"),"#VALUE!")</f>
        <v>#VALUE!</v>
      </c>
      <c r="I511" s="81"/>
      <c r="J511" s="82"/>
      <c r="K511" s="77" t="str">
        <f ca="1">IFERROR(__xludf.DUMMYFUNCTION("DATE(VALUE(LEFT($B$2,4)),VALUE(MID($B$2,6,2)),VALUE(RIGHT($B$2,2)))
+ (VALUE(REGEXEXTRACT(INDIRECT(""A""&amp;ROW()+1),""\d+""))-1)*7
+ INT((COLUMN()-COLUMN($B511))/3)
"),"#VALUE!")</f>
        <v>#VALUE!</v>
      </c>
      <c r="L511" s="81"/>
      <c r="M511" s="82"/>
      <c r="N511" s="77" t="str">
        <f ca="1">IFERROR(__xludf.DUMMYFUNCTION("DATE(VALUE(LEFT($B$2,4)),VALUE(MID($B$2,6,2)),VALUE(RIGHT($B$2,2)))
+ (VALUE(REGEXEXTRACT(INDIRECT(""A""&amp;ROW()+1),""\d+""))-1)*7
+ INT((COLUMN()-COLUMN($B511))/3)
"),"#VALUE!")</f>
        <v>#VALUE!</v>
      </c>
      <c r="O511" s="81"/>
      <c r="P511" s="82"/>
      <c r="Q511" s="77" t="str">
        <f ca="1">IFERROR(__xludf.DUMMYFUNCTION("DATE(VALUE(LEFT($B$2,4)),VALUE(MID($B$2,6,2)),VALUE(RIGHT($B$2,2)))
+ (VALUE(REGEXEXTRACT(INDIRECT(""A""&amp;ROW()+1),""\d+""))-1)*7
+ INT((COLUMN()-COLUMN($B511))/3)
"),"#VALUE!")</f>
        <v>#VALUE!</v>
      </c>
      <c r="R511" s="81"/>
      <c r="S511" s="82"/>
      <c r="T511" s="77" t="str">
        <f ca="1">IFERROR(__xludf.DUMMYFUNCTION("DATE(VALUE(LEFT($B$2,4)),VALUE(MID($B$2,6,2)),VALUE(RIGHT($B$2,2)))
+ (VALUE(REGEXEXTRACT(INDIRECT(""A""&amp;ROW()+1),""\d+""))-1)*7
+ INT((COLUMN()-COLUMN($B511))/3)
"),"#VALUE!")</f>
        <v>#VALUE!</v>
      </c>
      <c r="U511" s="81"/>
      <c r="V511" s="82"/>
      <c r="W511" s="143"/>
    </row>
    <row r="512" spans="1:23" ht="15.75" customHeight="1">
      <c r="A512" s="51" t="s">
        <v>172</v>
      </c>
      <c r="B512" s="112"/>
      <c r="C512" s="111"/>
      <c r="D512" s="17">
        <f>V510+C512</f>
        <v>-1460</v>
      </c>
      <c r="E512" s="109"/>
      <c r="F512" s="109"/>
      <c r="G512" s="54">
        <f>D522+F512</f>
        <v>-1460</v>
      </c>
      <c r="H512" s="110"/>
      <c r="I512" s="111"/>
      <c r="J512" s="17">
        <f>G522+I512</f>
        <v>-1460</v>
      </c>
      <c r="K512" s="109"/>
      <c r="L512" s="109"/>
      <c r="M512" s="35">
        <f>J522+L512</f>
        <v>-1460</v>
      </c>
      <c r="N512" s="112"/>
      <c r="O512" s="111"/>
      <c r="P512" s="17">
        <f>M522+O512</f>
        <v>-1460</v>
      </c>
      <c r="Q512" s="109"/>
      <c r="R512" s="109"/>
      <c r="S512" s="35">
        <f>P522+R512</f>
        <v>-1460</v>
      </c>
      <c r="T512" s="112"/>
      <c r="U512" s="111"/>
      <c r="V512" s="48">
        <f>S522+U512</f>
        <v>-1460</v>
      </c>
      <c r="W512" s="143"/>
    </row>
    <row r="513" spans="1:23" ht="15.75" customHeight="1">
      <c r="A513" s="114"/>
      <c r="B513" s="106"/>
      <c r="C513" s="107"/>
      <c r="D513" s="26">
        <f t="shared" ref="D513:D522" si="301">D512+C513</f>
        <v>-1460</v>
      </c>
      <c r="E513" s="117"/>
      <c r="F513" s="117"/>
      <c r="G513" s="19">
        <f t="shared" ref="G513:G522" si="302">G512+F513</f>
        <v>-1460</v>
      </c>
      <c r="H513" s="116"/>
      <c r="I513" s="107"/>
      <c r="J513" s="26">
        <f t="shared" ref="J513:J522" si="303">J512+I513</f>
        <v>-1460</v>
      </c>
      <c r="K513" s="117"/>
      <c r="L513" s="117"/>
      <c r="M513" s="38">
        <f t="shared" ref="M513:M522" si="304">M512+L513</f>
        <v>-1460</v>
      </c>
      <c r="N513" s="106"/>
      <c r="O513" s="107"/>
      <c r="P513" s="26">
        <f t="shared" ref="P513:P522" si="305">P512+O513</f>
        <v>-1460</v>
      </c>
      <c r="Q513" s="117"/>
      <c r="R513" s="117"/>
      <c r="S513" s="38">
        <f t="shared" ref="S513:S522" si="306">S512+R513</f>
        <v>-1460</v>
      </c>
      <c r="T513" s="106"/>
      <c r="U513" s="107"/>
      <c r="V513" s="20">
        <f t="shared" ref="V513:V522" si="307">V512+U513</f>
        <v>-1460</v>
      </c>
      <c r="W513" s="143"/>
    </row>
    <row r="514" spans="1:23" ht="15.75" customHeight="1">
      <c r="A514" s="114"/>
      <c r="B514" s="106"/>
      <c r="C514" s="107"/>
      <c r="D514" s="26">
        <f t="shared" si="301"/>
        <v>-1460</v>
      </c>
      <c r="E514" s="117"/>
      <c r="F514" s="117"/>
      <c r="G514" s="19">
        <f t="shared" si="302"/>
        <v>-1460</v>
      </c>
      <c r="H514" s="116"/>
      <c r="I514" s="107"/>
      <c r="J514" s="26">
        <f t="shared" si="303"/>
        <v>-1460</v>
      </c>
      <c r="K514" s="117"/>
      <c r="L514" s="117"/>
      <c r="M514" s="38">
        <f t="shared" si="304"/>
        <v>-1460</v>
      </c>
      <c r="N514" s="106"/>
      <c r="O514" s="107"/>
      <c r="P514" s="26">
        <f t="shared" si="305"/>
        <v>-1460</v>
      </c>
      <c r="Q514" s="117"/>
      <c r="R514" s="117"/>
      <c r="S514" s="38">
        <f t="shared" si="306"/>
        <v>-1460</v>
      </c>
      <c r="T514" s="106"/>
      <c r="U514" s="116"/>
      <c r="V514" s="20">
        <f t="shared" si="307"/>
        <v>-1460</v>
      </c>
      <c r="W514" s="143"/>
    </row>
    <row r="515" spans="1:23" ht="15.75" customHeight="1">
      <c r="A515" s="114"/>
      <c r="B515" s="106"/>
      <c r="C515" s="107"/>
      <c r="D515" s="26">
        <f t="shared" si="301"/>
        <v>-1460</v>
      </c>
      <c r="E515" s="117"/>
      <c r="F515" s="117"/>
      <c r="G515" s="19">
        <f t="shared" si="302"/>
        <v>-1460</v>
      </c>
      <c r="H515" s="116"/>
      <c r="I515" s="107"/>
      <c r="J515" s="26">
        <f t="shared" si="303"/>
        <v>-1460</v>
      </c>
      <c r="K515" s="117"/>
      <c r="L515" s="117"/>
      <c r="M515" s="38">
        <f t="shared" si="304"/>
        <v>-1460</v>
      </c>
      <c r="N515" s="106"/>
      <c r="O515" s="107"/>
      <c r="P515" s="26">
        <f t="shared" si="305"/>
        <v>-1460</v>
      </c>
      <c r="Q515" s="117"/>
      <c r="R515" s="117"/>
      <c r="S515" s="38">
        <f t="shared" si="306"/>
        <v>-1460</v>
      </c>
      <c r="T515" s="106"/>
      <c r="U515" s="116"/>
      <c r="V515" s="20">
        <f t="shared" si="307"/>
        <v>-1460</v>
      </c>
      <c r="W515" s="143"/>
    </row>
    <row r="516" spans="1:23" ht="15.75" customHeight="1">
      <c r="A516" s="114"/>
      <c r="B516" s="106"/>
      <c r="C516" s="107"/>
      <c r="D516" s="26">
        <f t="shared" si="301"/>
        <v>-1460</v>
      </c>
      <c r="E516" s="117"/>
      <c r="F516" s="117"/>
      <c r="G516" s="19">
        <f t="shared" si="302"/>
        <v>-1460</v>
      </c>
      <c r="H516" s="116"/>
      <c r="I516" s="107"/>
      <c r="J516" s="26">
        <f t="shared" si="303"/>
        <v>-1460</v>
      </c>
      <c r="K516" s="117"/>
      <c r="L516" s="117"/>
      <c r="M516" s="38">
        <f t="shared" si="304"/>
        <v>-1460</v>
      </c>
      <c r="N516" s="106"/>
      <c r="O516" s="107"/>
      <c r="P516" s="26">
        <f t="shared" si="305"/>
        <v>-1460</v>
      </c>
      <c r="Q516" s="117"/>
      <c r="R516" s="117"/>
      <c r="S516" s="38">
        <f t="shared" si="306"/>
        <v>-1460</v>
      </c>
      <c r="T516" s="106"/>
      <c r="U516" s="116"/>
      <c r="V516" s="20">
        <f t="shared" si="307"/>
        <v>-1460</v>
      </c>
      <c r="W516" s="143"/>
    </row>
    <row r="517" spans="1:23" ht="15.75" customHeight="1">
      <c r="A517" s="114"/>
      <c r="B517" s="106"/>
      <c r="C517" s="107"/>
      <c r="D517" s="26">
        <f t="shared" si="301"/>
        <v>-1460</v>
      </c>
      <c r="E517" s="117"/>
      <c r="F517" s="117"/>
      <c r="G517" s="19">
        <f t="shared" si="302"/>
        <v>-1460</v>
      </c>
      <c r="H517" s="116"/>
      <c r="I517" s="107"/>
      <c r="J517" s="26">
        <f t="shared" si="303"/>
        <v>-1460</v>
      </c>
      <c r="K517" s="117"/>
      <c r="L517" s="117"/>
      <c r="M517" s="38">
        <f t="shared" si="304"/>
        <v>-1460</v>
      </c>
      <c r="N517" s="106"/>
      <c r="O517" s="107"/>
      <c r="P517" s="26">
        <f t="shared" si="305"/>
        <v>-1460</v>
      </c>
      <c r="Q517" s="117"/>
      <c r="R517" s="117"/>
      <c r="S517" s="38">
        <f t="shared" si="306"/>
        <v>-1460</v>
      </c>
      <c r="T517" s="106"/>
      <c r="U517" s="116"/>
      <c r="V517" s="20">
        <f t="shared" si="307"/>
        <v>-1460</v>
      </c>
      <c r="W517" s="143"/>
    </row>
    <row r="518" spans="1:23" ht="15.75" customHeight="1">
      <c r="A518" s="114"/>
      <c r="B518" s="106"/>
      <c r="C518" s="107"/>
      <c r="D518" s="26">
        <f t="shared" si="301"/>
        <v>-1460</v>
      </c>
      <c r="E518" s="117"/>
      <c r="F518" s="117"/>
      <c r="G518" s="19">
        <f t="shared" si="302"/>
        <v>-1460</v>
      </c>
      <c r="H518" s="116"/>
      <c r="I518" s="107"/>
      <c r="J518" s="26">
        <f t="shared" si="303"/>
        <v>-1460</v>
      </c>
      <c r="K518" s="117"/>
      <c r="L518" s="117"/>
      <c r="M518" s="38">
        <f t="shared" si="304"/>
        <v>-1460</v>
      </c>
      <c r="N518" s="106"/>
      <c r="O518" s="107"/>
      <c r="P518" s="26">
        <f t="shared" si="305"/>
        <v>-1460</v>
      </c>
      <c r="Q518" s="117"/>
      <c r="R518" s="117"/>
      <c r="S518" s="38">
        <f t="shared" si="306"/>
        <v>-1460</v>
      </c>
      <c r="T518" s="106"/>
      <c r="U518" s="116"/>
      <c r="V518" s="20">
        <f t="shared" si="307"/>
        <v>-1460</v>
      </c>
      <c r="W518" s="143"/>
    </row>
    <row r="519" spans="1:23" ht="15.75" customHeight="1">
      <c r="A519" s="114"/>
      <c r="B519" s="106"/>
      <c r="C519" s="107"/>
      <c r="D519" s="26">
        <f t="shared" si="301"/>
        <v>-1460</v>
      </c>
      <c r="E519" s="117"/>
      <c r="F519" s="117"/>
      <c r="G519" s="19">
        <f t="shared" si="302"/>
        <v>-1460</v>
      </c>
      <c r="H519" s="116"/>
      <c r="I519" s="107"/>
      <c r="J519" s="26">
        <f t="shared" si="303"/>
        <v>-1460</v>
      </c>
      <c r="K519" s="117"/>
      <c r="L519" s="117"/>
      <c r="M519" s="38">
        <f t="shared" si="304"/>
        <v>-1460</v>
      </c>
      <c r="N519" s="106"/>
      <c r="O519" s="107"/>
      <c r="P519" s="26">
        <f t="shared" si="305"/>
        <v>-1460</v>
      </c>
      <c r="Q519" s="117"/>
      <c r="R519" s="117"/>
      <c r="S519" s="38">
        <f t="shared" si="306"/>
        <v>-1460</v>
      </c>
      <c r="T519" s="106"/>
      <c r="U519" s="116"/>
      <c r="V519" s="20">
        <f t="shared" si="307"/>
        <v>-1460</v>
      </c>
      <c r="W519" s="143"/>
    </row>
    <row r="520" spans="1:23" ht="15.75" customHeight="1">
      <c r="A520" s="114"/>
      <c r="B520" s="122"/>
      <c r="C520" s="123"/>
      <c r="D520" s="26">
        <f t="shared" si="301"/>
        <v>-1460</v>
      </c>
      <c r="E520" s="117"/>
      <c r="F520" s="117"/>
      <c r="G520" s="19">
        <f t="shared" si="302"/>
        <v>-1460</v>
      </c>
      <c r="H520" s="124"/>
      <c r="I520" s="123"/>
      <c r="J520" s="26">
        <f t="shared" si="303"/>
        <v>-1460</v>
      </c>
      <c r="K520" s="117"/>
      <c r="L520" s="117"/>
      <c r="M520" s="38">
        <f t="shared" si="304"/>
        <v>-1460</v>
      </c>
      <c r="N520" s="122"/>
      <c r="O520" s="123"/>
      <c r="P520" s="26">
        <f t="shared" si="305"/>
        <v>-1460</v>
      </c>
      <c r="Q520" s="117"/>
      <c r="R520" s="117"/>
      <c r="S520" s="38">
        <f t="shared" si="306"/>
        <v>-1460</v>
      </c>
      <c r="T520" s="106"/>
      <c r="U520" s="116"/>
      <c r="V520" s="20">
        <f t="shared" si="307"/>
        <v>-1460</v>
      </c>
      <c r="W520" s="143"/>
    </row>
    <row r="521" spans="1:23" ht="15.75" customHeight="1">
      <c r="A521" s="114"/>
      <c r="B521" s="122"/>
      <c r="C521" s="123"/>
      <c r="D521" s="26">
        <f t="shared" si="301"/>
        <v>-1460</v>
      </c>
      <c r="E521" s="117"/>
      <c r="F521" s="117"/>
      <c r="G521" s="19">
        <f t="shared" si="302"/>
        <v>-1460</v>
      </c>
      <c r="H521" s="124"/>
      <c r="I521" s="123"/>
      <c r="J521" s="26">
        <f t="shared" si="303"/>
        <v>-1460</v>
      </c>
      <c r="K521" s="117"/>
      <c r="L521" s="117"/>
      <c r="M521" s="38">
        <f t="shared" si="304"/>
        <v>-1460</v>
      </c>
      <c r="N521" s="122"/>
      <c r="O521" s="123"/>
      <c r="P521" s="26">
        <f t="shared" si="305"/>
        <v>-1460</v>
      </c>
      <c r="Q521" s="117"/>
      <c r="R521" s="117"/>
      <c r="S521" s="38">
        <f t="shared" si="306"/>
        <v>-1460</v>
      </c>
      <c r="T521" s="122"/>
      <c r="U521" s="124"/>
      <c r="V521" s="20">
        <f t="shared" si="307"/>
        <v>-1460</v>
      </c>
      <c r="W521" s="143"/>
    </row>
    <row r="522" spans="1:23" ht="15.75" customHeight="1">
      <c r="A522" s="114"/>
      <c r="B522" s="122"/>
      <c r="C522" s="123"/>
      <c r="D522" s="39">
        <f t="shared" si="301"/>
        <v>-1460</v>
      </c>
      <c r="E522" s="128"/>
      <c r="F522" s="128"/>
      <c r="G522" s="55">
        <f t="shared" si="302"/>
        <v>-1460</v>
      </c>
      <c r="H522" s="124"/>
      <c r="I522" s="123"/>
      <c r="J522" s="39">
        <f t="shared" si="303"/>
        <v>-1460</v>
      </c>
      <c r="K522" s="128"/>
      <c r="L522" s="128"/>
      <c r="M522" s="40">
        <f t="shared" si="304"/>
        <v>-1460</v>
      </c>
      <c r="N522" s="122"/>
      <c r="O522" s="123"/>
      <c r="P522" s="39">
        <f t="shared" si="305"/>
        <v>-1460</v>
      </c>
      <c r="Q522" s="128"/>
      <c r="R522" s="128"/>
      <c r="S522" s="40">
        <f t="shared" si="306"/>
        <v>-1460</v>
      </c>
      <c r="T522" s="122"/>
      <c r="U522" s="123"/>
      <c r="V522" s="49">
        <f t="shared" si="307"/>
        <v>-1460</v>
      </c>
      <c r="W522" s="143"/>
    </row>
    <row r="523" spans="1:23" ht="15.75" customHeight="1">
      <c r="A523" s="87"/>
      <c r="B523" s="77" t="str">
        <f ca="1">IFERROR(__xludf.DUMMYFUNCTION("DATE(VALUE(LEFT($B$2,4)),VALUE(MID($B$2,6,2)),VALUE(RIGHT($B$2,2)))
+ (VALUE(REGEXEXTRACT(INDIRECT(""A""&amp;ROW()+1),""\d+""))-1)*7
+ INT((COLUMN()-COLUMN($B523))/3)
"),"#VALUE!")</f>
        <v>#VALUE!</v>
      </c>
      <c r="C523" s="81"/>
      <c r="D523" s="82"/>
      <c r="E523" s="77" t="str">
        <f ca="1">IFERROR(__xludf.DUMMYFUNCTION("DATE(VALUE(LEFT($B$2,4)),VALUE(MID($B$2,6,2)),VALUE(RIGHT($B$2,2)))
+ (VALUE(REGEXEXTRACT(INDIRECT(""A""&amp;ROW()+1),""\d+""))-1)*7
+ INT((COLUMN()-COLUMN($B523))/3)
"),"#VALUE!")</f>
        <v>#VALUE!</v>
      </c>
      <c r="F523" s="81"/>
      <c r="G523" s="82"/>
      <c r="H523" s="77" t="str">
        <f ca="1">IFERROR(__xludf.DUMMYFUNCTION("DATE(VALUE(LEFT($B$2,4)),VALUE(MID($B$2,6,2)),VALUE(RIGHT($B$2,2)))
+ (VALUE(REGEXEXTRACT(INDIRECT(""A""&amp;ROW()+1),""\d+""))-1)*7
+ INT((COLUMN()-COLUMN($B523))/3)
"),"#VALUE!")</f>
        <v>#VALUE!</v>
      </c>
      <c r="I523" s="81"/>
      <c r="J523" s="82"/>
      <c r="K523" s="77" t="str">
        <f ca="1">IFERROR(__xludf.DUMMYFUNCTION("DATE(VALUE(LEFT($B$2,4)),VALUE(MID($B$2,6,2)),VALUE(RIGHT($B$2,2)))
+ (VALUE(REGEXEXTRACT(INDIRECT(""A""&amp;ROW()+1),""\d+""))-1)*7
+ INT((COLUMN()-COLUMN($B523))/3)
"),"#VALUE!")</f>
        <v>#VALUE!</v>
      </c>
      <c r="L523" s="81"/>
      <c r="M523" s="82"/>
      <c r="N523" s="77" t="str">
        <f ca="1">IFERROR(__xludf.DUMMYFUNCTION("DATE(VALUE(LEFT($B$2,4)),VALUE(MID($B$2,6,2)),VALUE(RIGHT($B$2,2)))
+ (VALUE(REGEXEXTRACT(INDIRECT(""A""&amp;ROW()+1),""\d+""))-1)*7
+ INT((COLUMN()-COLUMN($B523))/3)
"),"#VALUE!")</f>
        <v>#VALUE!</v>
      </c>
      <c r="O523" s="81"/>
      <c r="P523" s="82"/>
      <c r="Q523" s="77" t="str">
        <f ca="1">IFERROR(__xludf.DUMMYFUNCTION("DATE(VALUE(LEFT($B$2,4)),VALUE(MID($B$2,6,2)),VALUE(RIGHT($B$2,2)))
+ (VALUE(REGEXEXTRACT(INDIRECT(""A""&amp;ROW()+1),""\d+""))-1)*7
+ INT((COLUMN()-COLUMN($B523))/3)
"),"#VALUE!")</f>
        <v>#VALUE!</v>
      </c>
      <c r="R523" s="81"/>
      <c r="S523" s="82"/>
      <c r="T523" s="77" t="str">
        <f ca="1">IFERROR(__xludf.DUMMYFUNCTION("DATE(VALUE(LEFT($B$2,4)),VALUE(MID($B$2,6,2)),VALUE(RIGHT($B$2,2)))
+ (VALUE(REGEXEXTRACT(INDIRECT(""A""&amp;ROW()+1),""\d+""))-1)*7
+ INT((COLUMN()-COLUMN($B523))/3)
"),"#VALUE!")</f>
        <v>#VALUE!</v>
      </c>
      <c r="U523" s="81"/>
      <c r="V523" s="82"/>
      <c r="W523" s="52" t="s">
        <v>20</v>
      </c>
    </row>
    <row r="524" spans="1:23" ht="15.75" customHeight="1">
      <c r="A524" s="47" t="s">
        <v>173</v>
      </c>
      <c r="B524" s="113"/>
      <c r="C524" s="109"/>
      <c r="D524" s="42">
        <f>V522+C524</f>
        <v>-1460</v>
      </c>
      <c r="E524" s="112"/>
      <c r="F524" s="111"/>
      <c r="G524" s="36">
        <f>D534+F524</f>
        <v>-1460</v>
      </c>
      <c r="H524" s="132"/>
      <c r="I524" s="109"/>
      <c r="J524" s="42">
        <f>G534+I524</f>
        <v>-1460</v>
      </c>
      <c r="K524" s="112"/>
      <c r="L524" s="111"/>
      <c r="M524" s="18">
        <f>J534+L524</f>
        <v>-1460</v>
      </c>
      <c r="N524" s="113"/>
      <c r="O524" s="109"/>
      <c r="P524" s="35">
        <f>M534+O524</f>
        <v>-1460</v>
      </c>
      <c r="Q524" s="112"/>
      <c r="R524" s="111"/>
      <c r="S524" s="18">
        <f>P534+R524</f>
        <v>-1460</v>
      </c>
      <c r="T524" s="173"/>
      <c r="U524" s="173"/>
      <c r="V524" s="50">
        <f>S534+U524</f>
        <v>-1460</v>
      </c>
      <c r="W524" s="172"/>
    </row>
    <row r="525" spans="1:23" ht="15.75" customHeight="1">
      <c r="A525" s="114"/>
      <c r="B525" s="118"/>
      <c r="C525" s="117"/>
      <c r="D525" s="19">
        <f t="shared" ref="D525:D534" si="308">D524+C525</f>
        <v>-1460</v>
      </c>
      <c r="E525" s="106"/>
      <c r="F525" s="107"/>
      <c r="G525" s="26">
        <f t="shared" ref="G525:G534" si="309">G524+F525</f>
        <v>-1460</v>
      </c>
      <c r="H525" s="133"/>
      <c r="I525" s="117"/>
      <c r="J525" s="19">
        <f t="shared" ref="J525:J534" si="310">J524+I525</f>
        <v>-1460</v>
      </c>
      <c r="K525" s="106"/>
      <c r="L525" s="107"/>
      <c r="M525" s="26">
        <f t="shared" ref="M525:M534" si="311">M524+L525</f>
        <v>-1460</v>
      </c>
      <c r="N525" s="118"/>
      <c r="O525" s="117"/>
      <c r="P525" s="38">
        <f t="shared" ref="P525:P534" si="312">P524+O525</f>
        <v>-1460</v>
      </c>
      <c r="Q525" s="106"/>
      <c r="R525" s="107"/>
      <c r="S525" s="26">
        <f t="shared" ref="S525:S534" si="313">S524+R525</f>
        <v>-1460</v>
      </c>
      <c r="T525" s="136"/>
      <c r="U525" s="136"/>
      <c r="V525" s="45">
        <f t="shared" ref="V525:V534" si="314">V524+U525</f>
        <v>-1460</v>
      </c>
      <c r="W525" s="143"/>
    </row>
    <row r="526" spans="1:23" ht="15.75" customHeight="1">
      <c r="A526" s="114"/>
      <c r="B526" s="118"/>
      <c r="C526" s="117"/>
      <c r="D526" s="19">
        <f t="shared" si="308"/>
        <v>-1460</v>
      </c>
      <c r="E526" s="106"/>
      <c r="F526" s="107"/>
      <c r="G526" s="26">
        <f t="shared" si="309"/>
        <v>-1460</v>
      </c>
      <c r="H526" s="133"/>
      <c r="I526" s="117"/>
      <c r="J526" s="19">
        <f t="shared" si="310"/>
        <v>-1460</v>
      </c>
      <c r="K526" s="106"/>
      <c r="L526" s="107"/>
      <c r="M526" s="26">
        <f t="shared" si="311"/>
        <v>-1460</v>
      </c>
      <c r="N526" s="117"/>
      <c r="O526" s="117"/>
      <c r="P526" s="38">
        <f t="shared" si="312"/>
        <v>-1460</v>
      </c>
      <c r="Q526" s="106"/>
      <c r="R526" s="107"/>
      <c r="S526" s="26">
        <f t="shared" si="313"/>
        <v>-1460</v>
      </c>
      <c r="T526" s="136"/>
      <c r="U526" s="136"/>
      <c r="V526" s="45">
        <f t="shared" si="314"/>
        <v>-1460</v>
      </c>
      <c r="W526" s="143"/>
    </row>
    <row r="527" spans="1:23" ht="15.75" customHeight="1">
      <c r="A527" s="114"/>
      <c r="B527" s="118"/>
      <c r="C527" s="117"/>
      <c r="D527" s="19">
        <f t="shared" si="308"/>
        <v>-1460</v>
      </c>
      <c r="E527" s="106"/>
      <c r="F527" s="107"/>
      <c r="G527" s="26">
        <f t="shared" si="309"/>
        <v>-1460</v>
      </c>
      <c r="H527" s="133"/>
      <c r="I527" s="117"/>
      <c r="J527" s="19">
        <f t="shared" si="310"/>
        <v>-1460</v>
      </c>
      <c r="K527" s="106"/>
      <c r="L527" s="107"/>
      <c r="M527" s="26">
        <f t="shared" si="311"/>
        <v>-1460</v>
      </c>
      <c r="N527" s="117"/>
      <c r="O527" s="117"/>
      <c r="P527" s="38">
        <f t="shared" si="312"/>
        <v>-1460</v>
      </c>
      <c r="Q527" s="106"/>
      <c r="R527" s="107"/>
      <c r="S527" s="26">
        <f t="shared" si="313"/>
        <v>-1460</v>
      </c>
      <c r="T527" s="136"/>
      <c r="U527" s="136"/>
      <c r="V527" s="45">
        <f t="shared" si="314"/>
        <v>-1460</v>
      </c>
      <c r="W527" s="143"/>
    </row>
    <row r="528" spans="1:23" ht="15.75" customHeight="1">
      <c r="A528" s="114"/>
      <c r="B528" s="118"/>
      <c r="C528" s="117"/>
      <c r="D528" s="19">
        <f t="shared" si="308"/>
        <v>-1460</v>
      </c>
      <c r="E528" s="106"/>
      <c r="F528" s="107"/>
      <c r="G528" s="26">
        <f t="shared" si="309"/>
        <v>-1460</v>
      </c>
      <c r="H528" s="133"/>
      <c r="I528" s="117"/>
      <c r="J528" s="19">
        <f t="shared" si="310"/>
        <v>-1460</v>
      </c>
      <c r="K528" s="106"/>
      <c r="L528" s="107"/>
      <c r="M528" s="26">
        <f t="shared" si="311"/>
        <v>-1460</v>
      </c>
      <c r="N528" s="117"/>
      <c r="O528" s="117"/>
      <c r="P528" s="38">
        <f t="shared" si="312"/>
        <v>-1460</v>
      </c>
      <c r="Q528" s="106"/>
      <c r="R528" s="107"/>
      <c r="S528" s="26">
        <f t="shared" si="313"/>
        <v>-1460</v>
      </c>
      <c r="T528" s="136"/>
      <c r="U528" s="136"/>
      <c r="V528" s="45">
        <f t="shared" si="314"/>
        <v>-1460</v>
      </c>
      <c r="W528" s="143"/>
    </row>
    <row r="529" spans="1:23" ht="15.75" customHeight="1">
      <c r="A529" s="114"/>
      <c r="B529" s="118"/>
      <c r="C529" s="117"/>
      <c r="D529" s="19">
        <f t="shared" si="308"/>
        <v>-1460</v>
      </c>
      <c r="E529" s="106"/>
      <c r="F529" s="107"/>
      <c r="G529" s="26">
        <f t="shared" si="309"/>
        <v>-1460</v>
      </c>
      <c r="H529" s="133"/>
      <c r="I529" s="117"/>
      <c r="J529" s="19">
        <f t="shared" si="310"/>
        <v>-1460</v>
      </c>
      <c r="K529" s="106"/>
      <c r="L529" s="107"/>
      <c r="M529" s="26">
        <f t="shared" si="311"/>
        <v>-1460</v>
      </c>
      <c r="N529" s="117"/>
      <c r="O529" s="117"/>
      <c r="P529" s="38">
        <f t="shared" si="312"/>
        <v>-1460</v>
      </c>
      <c r="Q529" s="106"/>
      <c r="R529" s="107"/>
      <c r="S529" s="26">
        <f t="shared" si="313"/>
        <v>-1460</v>
      </c>
      <c r="T529" s="136"/>
      <c r="U529" s="136"/>
      <c r="V529" s="45">
        <f t="shared" si="314"/>
        <v>-1460</v>
      </c>
      <c r="W529" s="143"/>
    </row>
    <row r="530" spans="1:23" ht="15.75" customHeight="1">
      <c r="A530" s="114"/>
      <c r="B530" s="117"/>
      <c r="C530" s="117"/>
      <c r="D530" s="19">
        <f t="shared" si="308"/>
        <v>-1460</v>
      </c>
      <c r="E530" s="106"/>
      <c r="F530" s="107"/>
      <c r="G530" s="26">
        <f t="shared" si="309"/>
        <v>-1460</v>
      </c>
      <c r="H530" s="133"/>
      <c r="I530" s="117"/>
      <c r="J530" s="19">
        <f t="shared" si="310"/>
        <v>-1460</v>
      </c>
      <c r="K530" s="106"/>
      <c r="L530" s="107"/>
      <c r="M530" s="26">
        <f t="shared" si="311"/>
        <v>-1460</v>
      </c>
      <c r="N530" s="117"/>
      <c r="O530" s="117"/>
      <c r="P530" s="38">
        <f t="shared" si="312"/>
        <v>-1460</v>
      </c>
      <c r="Q530" s="106"/>
      <c r="R530" s="107"/>
      <c r="S530" s="26">
        <f t="shared" si="313"/>
        <v>-1460</v>
      </c>
      <c r="T530" s="136"/>
      <c r="U530" s="136"/>
      <c r="V530" s="45">
        <f t="shared" si="314"/>
        <v>-1460</v>
      </c>
      <c r="W530" s="143"/>
    </row>
    <row r="531" spans="1:23" ht="15.75" customHeight="1">
      <c r="A531" s="114"/>
      <c r="B531" s="117"/>
      <c r="C531" s="117"/>
      <c r="D531" s="19">
        <f t="shared" si="308"/>
        <v>-1460</v>
      </c>
      <c r="E531" s="106"/>
      <c r="F531" s="107"/>
      <c r="G531" s="26">
        <f t="shared" si="309"/>
        <v>-1460</v>
      </c>
      <c r="H531" s="133"/>
      <c r="I531" s="117"/>
      <c r="J531" s="19">
        <f t="shared" si="310"/>
        <v>-1460</v>
      </c>
      <c r="K531" s="106"/>
      <c r="L531" s="107"/>
      <c r="M531" s="26">
        <f t="shared" si="311"/>
        <v>-1460</v>
      </c>
      <c r="N531" s="117"/>
      <c r="O531" s="117"/>
      <c r="P531" s="38">
        <f t="shared" si="312"/>
        <v>-1460</v>
      </c>
      <c r="Q531" s="106"/>
      <c r="R531" s="107"/>
      <c r="S531" s="26">
        <f t="shared" si="313"/>
        <v>-1460</v>
      </c>
      <c r="T531" s="136"/>
      <c r="U531" s="136"/>
      <c r="V531" s="45">
        <f t="shared" si="314"/>
        <v>-1460</v>
      </c>
      <c r="W531" s="143"/>
    </row>
    <row r="532" spans="1:23" ht="15.75" customHeight="1">
      <c r="A532" s="114"/>
      <c r="B532" s="117"/>
      <c r="C532" s="117"/>
      <c r="D532" s="19">
        <f t="shared" si="308"/>
        <v>-1460</v>
      </c>
      <c r="E532" s="106"/>
      <c r="F532" s="107"/>
      <c r="G532" s="26">
        <f t="shared" si="309"/>
        <v>-1460</v>
      </c>
      <c r="H532" s="133"/>
      <c r="I532" s="117"/>
      <c r="J532" s="19">
        <f t="shared" si="310"/>
        <v>-1460</v>
      </c>
      <c r="K532" s="106"/>
      <c r="L532" s="107"/>
      <c r="M532" s="26">
        <f t="shared" si="311"/>
        <v>-1460</v>
      </c>
      <c r="N532" s="117"/>
      <c r="O532" s="117"/>
      <c r="P532" s="38">
        <f t="shared" si="312"/>
        <v>-1460</v>
      </c>
      <c r="Q532" s="106"/>
      <c r="R532" s="107"/>
      <c r="S532" s="26">
        <f t="shared" si="313"/>
        <v>-1460</v>
      </c>
      <c r="T532" s="136"/>
      <c r="U532" s="136"/>
      <c r="V532" s="45">
        <f t="shared" si="314"/>
        <v>-1460</v>
      </c>
      <c r="W532" s="143"/>
    </row>
    <row r="533" spans="1:23" ht="15.75" customHeight="1">
      <c r="A533" s="114"/>
      <c r="B533" s="117"/>
      <c r="C533" s="117"/>
      <c r="D533" s="19">
        <f t="shared" si="308"/>
        <v>-1460</v>
      </c>
      <c r="E533" s="122"/>
      <c r="F533" s="123"/>
      <c r="G533" s="26">
        <f t="shared" si="309"/>
        <v>-1460</v>
      </c>
      <c r="H533" s="133"/>
      <c r="I533" s="117"/>
      <c r="J533" s="19">
        <f t="shared" si="310"/>
        <v>-1460</v>
      </c>
      <c r="K533" s="122"/>
      <c r="L533" s="123"/>
      <c r="M533" s="26">
        <f t="shared" si="311"/>
        <v>-1460</v>
      </c>
      <c r="N533" s="117"/>
      <c r="O533" s="117"/>
      <c r="P533" s="38">
        <f t="shared" si="312"/>
        <v>-1460</v>
      </c>
      <c r="Q533" s="122"/>
      <c r="R533" s="123"/>
      <c r="S533" s="26">
        <f t="shared" si="313"/>
        <v>-1460</v>
      </c>
      <c r="T533" s="136"/>
      <c r="U533" s="136"/>
      <c r="V533" s="45">
        <f t="shared" si="314"/>
        <v>-1460</v>
      </c>
      <c r="W533" s="143"/>
    </row>
    <row r="534" spans="1:23" ht="15.75" customHeight="1">
      <c r="A534" s="114"/>
      <c r="B534" s="128"/>
      <c r="C534" s="128"/>
      <c r="D534" s="29">
        <f t="shared" si="308"/>
        <v>-1460</v>
      </c>
      <c r="E534" s="122"/>
      <c r="F534" s="123"/>
      <c r="G534" s="53">
        <f t="shared" si="309"/>
        <v>-1460</v>
      </c>
      <c r="H534" s="140"/>
      <c r="I534" s="128"/>
      <c r="J534" s="29">
        <f t="shared" si="310"/>
        <v>-1460</v>
      </c>
      <c r="K534" s="122"/>
      <c r="L534" s="123"/>
      <c r="M534" s="39">
        <f t="shared" si="311"/>
        <v>-1460</v>
      </c>
      <c r="N534" s="128"/>
      <c r="O534" s="128"/>
      <c r="P534" s="40">
        <f t="shared" si="312"/>
        <v>-1460</v>
      </c>
      <c r="Q534" s="122"/>
      <c r="R534" s="123"/>
      <c r="S534" s="39">
        <f t="shared" si="313"/>
        <v>-1460</v>
      </c>
      <c r="T534" s="141"/>
      <c r="U534" s="141"/>
      <c r="V534" s="46">
        <f t="shared" si="314"/>
        <v>-1460</v>
      </c>
      <c r="W534" s="143"/>
    </row>
    <row r="535" spans="1:23" ht="15.75" customHeight="1">
      <c r="A535" s="87"/>
      <c r="B535" s="77" t="str">
        <f ca="1">IFERROR(__xludf.DUMMYFUNCTION("DATE(VALUE(LEFT($B$2,4)),VALUE(MID($B$2,6,2)),VALUE(RIGHT($B$2,2)))
+ (VALUE(REGEXEXTRACT(INDIRECT(""A""&amp;ROW()+1),""\d+""))-1)*7
+ INT((COLUMN()-COLUMN($B535))/3)
"),"#VALUE!")</f>
        <v>#VALUE!</v>
      </c>
      <c r="C535" s="81"/>
      <c r="D535" s="82"/>
      <c r="E535" s="77" t="str">
        <f ca="1">IFERROR(__xludf.DUMMYFUNCTION("DATE(VALUE(LEFT($B$2,4)),VALUE(MID($B$2,6,2)),VALUE(RIGHT($B$2,2)))
+ (VALUE(REGEXEXTRACT(INDIRECT(""A""&amp;ROW()+1),""\d+""))-1)*7
+ INT((COLUMN()-COLUMN($B535))/3)
"),"#VALUE!")</f>
        <v>#VALUE!</v>
      </c>
      <c r="F535" s="81"/>
      <c r="G535" s="82"/>
      <c r="H535" s="77" t="str">
        <f ca="1">IFERROR(__xludf.DUMMYFUNCTION("DATE(VALUE(LEFT($B$2,4)),VALUE(MID($B$2,6,2)),VALUE(RIGHT($B$2,2)))
+ (VALUE(REGEXEXTRACT(INDIRECT(""A""&amp;ROW()+1),""\d+""))-1)*7
+ INT((COLUMN()-COLUMN($B535))/3)
"),"#VALUE!")</f>
        <v>#VALUE!</v>
      </c>
      <c r="I535" s="81"/>
      <c r="J535" s="82"/>
      <c r="K535" s="77" t="str">
        <f ca="1">IFERROR(__xludf.DUMMYFUNCTION("DATE(VALUE(LEFT($B$2,4)),VALUE(MID($B$2,6,2)),VALUE(RIGHT($B$2,2)))
+ (VALUE(REGEXEXTRACT(INDIRECT(""A""&amp;ROW()+1),""\d+""))-1)*7
+ INT((COLUMN()-COLUMN($B535))/3)
"),"#VALUE!")</f>
        <v>#VALUE!</v>
      </c>
      <c r="L535" s="81"/>
      <c r="M535" s="82"/>
      <c r="N535" s="77" t="str">
        <f ca="1">IFERROR(__xludf.DUMMYFUNCTION("DATE(VALUE(LEFT($B$2,4)),VALUE(MID($B$2,6,2)),VALUE(RIGHT($B$2,2)))
+ (VALUE(REGEXEXTRACT(INDIRECT(""A""&amp;ROW()+1),""\d+""))-1)*7
+ INT((COLUMN()-COLUMN($B535))/3)
"),"#VALUE!")</f>
        <v>#VALUE!</v>
      </c>
      <c r="O535" s="81"/>
      <c r="P535" s="82"/>
      <c r="Q535" s="77" t="str">
        <f ca="1">IFERROR(__xludf.DUMMYFUNCTION("DATE(VALUE(LEFT($B$2,4)),VALUE(MID($B$2,6,2)),VALUE(RIGHT($B$2,2)))
+ (VALUE(REGEXEXTRACT(INDIRECT(""A""&amp;ROW()+1),""\d+""))-1)*7
+ INT((COLUMN()-COLUMN($B535))/3)
"),"#VALUE!")</f>
        <v>#VALUE!</v>
      </c>
      <c r="R535" s="81"/>
      <c r="S535" s="82"/>
      <c r="T535" s="77" t="str">
        <f ca="1">IFERROR(__xludf.DUMMYFUNCTION("DATE(VALUE(LEFT($B$2,4)),VALUE(MID($B$2,6,2)),VALUE(RIGHT($B$2,2)))
+ (VALUE(REGEXEXTRACT(INDIRECT(""A""&amp;ROW()+1),""\d+""))-1)*7
+ INT((COLUMN()-COLUMN($B535))/3)
"),"#VALUE!")</f>
        <v>#VALUE!</v>
      </c>
      <c r="U535" s="81"/>
      <c r="V535" s="82"/>
      <c r="W535" s="143"/>
    </row>
    <row r="536" spans="1:23" ht="15.75" customHeight="1">
      <c r="A536" s="51" t="s">
        <v>174</v>
      </c>
      <c r="B536" s="112"/>
      <c r="C536" s="111"/>
      <c r="D536" s="17">
        <f>V534+C536</f>
        <v>-1460</v>
      </c>
      <c r="E536" s="109"/>
      <c r="F536" s="109"/>
      <c r="G536" s="54">
        <f>D546+F536</f>
        <v>-1460</v>
      </c>
      <c r="H536" s="110"/>
      <c r="I536" s="111"/>
      <c r="J536" s="17">
        <f>G546+I536</f>
        <v>-1460</v>
      </c>
      <c r="K536" s="109"/>
      <c r="L536" s="109"/>
      <c r="M536" s="35">
        <f>J546+L536</f>
        <v>-1460</v>
      </c>
      <c r="N536" s="112"/>
      <c r="O536" s="111"/>
      <c r="P536" s="17">
        <f>M546+O536</f>
        <v>-1460</v>
      </c>
      <c r="Q536" s="109"/>
      <c r="R536" s="109"/>
      <c r="S536" s="35">
        <f>P546+R536</f>
        <v>-1460</v>
      </c>
      <c r="T536" s="112"/>
      <c r="U536" s="111"/>
      <c r="V536" s="48">
        <f>S546+U536</f>
        <v>-1460</v>
      </c>
      <c r="W536" s="143"/>
    </row>
    <row r="537" spans="1:23" ht="15.75" customHeight="1">
      <c r="A537" s="114"/>
      <c r="B537" s="106"/>
      <c r="C537" s="107"/>
      <c r="D537" s="26">
        <f t="shared" ref="D537:D546" si="315">D536+C537</f>
        <v>-1460</v>
      </c>
      <c r="E537" s="117"/>
      <c r="F537" s="117"/>
      <c r="G537" s="19">
        <f t="shared" ref="G537:G546" si="316">G536+F537</f>
        <v>-1460</v>
      </c>
      <c r="H537" s="116"/>
      <c r="I537" s="107"/>
      <c r="J537" s="26">
        <f t="shared" ref="J537:J546" si="317">J536+I537</f>
        <v>-1460</v>
      </c>
      <c r="K537" s="117"/>
      <c r="L537" s="117"/>
      <c r="M537" s="38">
        <f t="shared" ref="M537:M546" si="318">M536+L537</f>
        <v>-1460</v>
      </c>
      <c r="N537" s="106"/>
      <c r="O537" s="107"/>
      <c r="P537" s="26">
        <f t="shared" ref="P537:P546" si="319">P536+O537</f>
        <v>-1460</v>
      </c>
      <c r="Q537" s="117"/>
      <c r="R537" s="117"/>
      <c r="S537" s="38">
        <f t="shared" ref="S537:S546" si="320">S536+R537</f>
        <v>-1460</v>
      </c>
      <c r="T537" s="106"/>
      <c r="U537" s="107"/>
      <c r="V537" s="20">
        <f t="shared" ref="V537:V546" si="321">V536+U537</f>
        <v>-1460</v>
      </c>
      <c r="W537" s="143"/>
    </row>
    <row r="538" spans="1:23" ht="15.75" customHeight="1">
      <c r="A538" s="114"/>
      <c r="B538" s="106"/>
      <c r="C538" s="107"/>
      <c r="D538" s="26">
        <f t="shared" si="315"/>
        <v>-1460</v>
      </c>
      <c r="E538" s="117"/>
      <c r="F538" s="117"/>
      <c r="G538" s="19">
        <f t="shared" si="316"/>
        <v>-1460</v>
      </c>
      <c r="H538" s="116"/>
      <c r="I538" s="107"/>
      <c r="J538" s="26">
        <f t="shared" si="317"/>
        <v>-1460</v>
      </c>
      <c r="K538" s="117"/>
      <c r="L538" s="117"/>
      <c r="M538" s="38">
        <f t="shared" si="318"/>
        <v>-1460</v>
      </c>
      <c r="N538" s="106"/>
      <c r="O538" s="107"/>
      <c r="P538" s="26">
        <f t="shared" si="319"/>
        <v>-1460</v>
      </c>
      <c r="Q538" s="117"/>
      <c r="R538" s="117"/>
      <c r="S538" s="38">
        <f t="shared" si="320"/>
        <v>-1460</v>
      </c>
      <c r="T538" s="106"/>
      <c r="U538" s="116"/>
      <c r="V538" s="20">
        <f t="shared" si="321"/>
        <v>-1460</v>
      </c>
      <c r="W538" s="143"/>
    </row>
    <row r="539" spans="1:23" ht="15.75" customHeight="1">
      <c r="A539" s="114"/>
      <c r="B539" s="106"/>
      <c r="C539" s="107"/>
      <c r="D539" s="26">
        <f t="shared" si="315"/>
        <v>-1460</v>
      </c>
      <c r="E539" s="117"/>
      <c r="F539" s="117"/>
      <c r="G539" s="19">
        <f t="shared" si="316"/>
        <v>-1460</v>
      </c>
      <c r="H539" s="116"/>
      <c r="I539" s="107"/>
      <c r="J539" s="26">
        <f t="shared" si="317"/>
        <v>-1460</v>
      </c>
      <c r="K539" s="117"/>
      <c r="L539" s="117"/>
      <c r="M539" s="38">
        <f t="shared" si="318"/>
        <v>-1460</v>
      </c>
      <c r="N539" s="106"/>
      <c r="O539" s="107"/>
      <c r="P539" s="26">
        <f t="shared" si="319"/>
        <v>-1460</v>
      </c>
      <c r="Q539" s="117"/>
      <c r="R539" s="117"/>
      <c r="S539" s="38">
        <f t="shared" si="320"/>
        <v>-1460</v>
      </c>
      <c r="T539" s="106"/>
      <c r="U539" s="116"/>
      <c r="V539" s="20">
        <f t="shared" si="321"/>
        <v>-1460</v>
      </c>
      <c r="W539" s="143"/>
    </row>
    <row r="540" spans="1:23" ht="15.75" customHeight="1">
      <c r="A540" s="114"/>
      <c r="B540" s="106"/>
      <c r="C540" s="107"/>
      <c r="D540" s="26">
        <f t="shared" si="315"/>
        <v>-1460</v>
      </c>
      <c r="E540" s="117"/>
      <c r="F540" s="117"/>
      <c r="G540" s="19">
        <f t="shared" si="316"/>
        <v>-1460</v>
      </c>
      <c r="H540" s="116"/>
      <c r="I540" s="107"/>
      <c r="J540" s="26">
        <f t="shared" si="317"/>
        <v>-1460</v>
      </c>
      <c r="K540" s="117"/>
      <c r="L540" s="117"/>
      <c r="M540" s="38">
        <f t="shared" si="318"/>
        <v>-1460</v>
      </c>
      <c r="N540" s="106"/>
      <c r="O540" s="107"/>
      <c r="P540" s="26">
        <f t="shared" si="319"/>
        <v>-1460</v>
      </c>
      <c r="Q540" s="117"/>
      <c r="R540" s="117"/>
      <c r="S540" s="38">
        <f t="shared" si="320"/>
        <v>-1460</v>
      </c>
      <c r="T540" s="106"/>
      <c r="U540" s="116"/>
      <c r="V540" s="20">
        <f t="shared" si="321"/>
        <v>-1460</v>
      </c>
      <c r="W540" s="143"/>
    </row>
    <row r="541" spans="1:23" ht="15.75" customHeight="1">
      <c r="A541" s="114"/>
      <c r="B541" s="106"/>
      <c r="C541" s="107"/>
      <c r="D541" s="26">
        <f t="shared" si="315"/>
        <v>-1460</v>
      </c>
      <c r="E541" s="117"/>
      <c r="F541" s="117"/>
      <c r="G541" s="19">
        <f t="shared" si="316"/>
        <v>-1460</v>
      </c>
      <c r="H541" s="116"/>
      <c r="I541" s="107"/>
      <c r="J541" s="26">
        <f t="shared" si="317"/>
        <v>-1460</v>
      </c>
      <c r="K541" s="117"/>
      <c r="L541" s="117"/>
      <c r="M541" s="38">
        <f t="shared" si="318"/>
        <v>-1460</v>
      </c>
      <c r="N541" s="106"/>
      <c r="O541" s="107"/>
      <c r="P541" s="26">
        <f t="shared" si="319"/>
        <v>-1460</v>
      </c>
      <c r="Q541" s="117"/>
      <c r="R541" s="117"/>
      <c r="S541" s="38">
        <f t="shared" si="320"/>
        <v>-1460</v>
      </c>
      <c r="T541" s="106"/>
      <c r="U541" s="116"/>
      <c r="V541" s="20">
        <f t="shared" si="321"/>
        <v>-1460</v>
      </c>
      <c r="W541" s="143"/>
    </row>
    <row r="542" spans="1:23" ht="15.75" customHeight="1">
      <c r="A542" s="114"/>
      <c r="B542" s="106"/>
      <c r="C542" s="107"/>
      <c r="D542" s="26">
        <f t="shared" si="315"/>
        <v>-1460</v>
      </c>
      <c r="E542" s="117"/>
      <c r="F542" s="117"/>
      <c r="G542" s="19">
        <f t="shared" si="316"/>
        <v>-1460</v>
      </c>
      <c r="H542" s="116"/>
      <c r="I542" s="107"/>
      <c r="J542" s="26">
        <f t="shared" si="317"/>
        <v>-1460</v>
      </c>
      <c r="K542" s="117"/>
      <c r="L542" s="117"/>
      <c r="M542" s="38">
        <f t="shared" si="318"/>
        <v>-1460</v>
      </c>
      <c r="N542" s="106"/>
      <c r="O542" s="107"/>
      <c r="P542" s="26">
        <f t="shared" si="319"/>
        <v>-1460</v>
      </c>
      <c r="Q542" s="117"/>
      <c r="R542" s="117"/>
      <c r="S542" s="38">
        <f t="shared" si="320"/>
        <v>-1460</v>
      </c>
      <c r="T542" s="106"/>
      <c r="U542" s="116"/>
      <c r="V542" s="20">
        <f t="shared" si="321"/>
        <v>-1460</v>
      </c>
      <c r="W542" s="143"/>
    </row>
    <row r="543" spans="1:23" ht="15.75" customHeight="1">
      <c r="A543" s="114"/>
      <c r="B543" s="106"/>
      <c r="C543" s="107"/>
      <c r="D543" s="26">
        <f t="shared" si="315"/>
        <v>-1460</v>
      </c>
      <c r="E543" s="117"/>
      <c r="F543" s="117"/>
      <c r="G543" s="19">
        <f t="shared" si="316"/>
        <v>-1460</v>
      </c>
      <c r="H543" s="116"/>
      <c r="I543" s="107"/>
      <c r="J543" s="26">
        <f t="shared" si="317"/>
        <v>-1460</v>
      </c>
      <c r="K543" s="117"/>
      <c r="L543" s="117"/>
      <c r="M543" s="38">
        <f t="shared" si="318"/>
        <v>-1460</v>
      </c>
      <c r="N543" s="106"/>
      <c r="O543" s="107"/>
      <c r="P543" s="26">
        <f t="shared" si="319"/>
        <v>-1460</v>
      </c>
      <c r="Q543" s="117"/>
      <c r="R543" s="117"/>
      <c r="S543" s="38">
        <f t="shared" si="320"/>
        <v>-1460</v>
      </c>
      <c r="T543" s="106"/>
      <c r="U543" s="116"/>
      <c r="V543" s="20">
        <f t="shared" si="321"/>
        <v>-1460</v>
      </c>
      <c r="W543" s="143"/>
    </row>
    <row r="544" spans="1:23" ht="15.75" customHeight="1">
      <c r="A544" s="114"/>
      <c r="B544" s="122"/>
      <c r="C544" s="123"/>
      <c r="D544" s="26">
        <f t="shared" si="315"/>
        <v>-1460</v>
      </c>
      <c r="E544" s="117"/>
      <c r="F544" s="117"/>
      <c r="G544" s="19">
        <f t="shared" si="316"/>
        <v>-1460</v>
      </c>
      <c r="H544" s="124"/>
      <c r="I544" s="123"/>
      <c r="J544" s="26">
        <f t="shared" si="317"/>
        <v>-1460</v>
      </c>
      <c r="K544" s="117"/>
      <c r="L544" s="117"/>
      <c r="M544" s="38">
        <f t="shared" si="318"/>
        <v>-1460</v>
      </c>
      <c r="N544" s="122"/>
      <c r="O544" s="123"/>
      <c r="P544" s="26">
        <f t="shared" si="319"/>
        <v>-1460</v>
      </c>
      <c r="Q544" s="117"/>
      <c r="R544" s="117"/>
      <c r="S544" s="38">
        <f t="shared" si="320"/>
        <v>-1460</v>
      </c>
      <c r="T544" s="106"/>
      <c r="U544" s="116"/>
      <c r="V544" s="20">
        <f t="shared" si="321"/>
        <v>-1460</v>
      </c>
      <c r="W544" s="143"/>
    </row>
    <row r="545" spans="1:23" ht="15.75" customHeight="1">
      <c r="A545" s="114"/>
      <c r="B545" s="122"/>
      <c r="C545" s="123"/>
      <c r="D545" s="26">
        <f t="shared" si="315"/>
        <v>-1460</v>
      </c>
      <c r="E545" s="117"/>
      <c r="F545" s="117"/>
      <c r="G545" s="19">
        <f t="shared" si="316"/>
        <v>-1460</v>
      </c>
      <c r="H545" s="124"/>
      <c r="I545" s="123"/>
      <c r="J545" s="26">
        <f t="shared" si="317"/>
        <v>-1460</v>
      </c>
      <c r="K545" s="117"/>
      <c r="L545" s="117"/>
      <c r="M545" s="38">
        <f t="shared" si="318"/>
        <v>-1460</v>
      </c>
      <c r="N545" s="122"/>
      <c r="O545" s="123"/>
      <c r="P545" s="26">
        <f t="shared" si="319"/>
        <v>-1460</v>
      </c>
      <c r="Q545" s="117"/>
      <c r="R545" s="117"/>
      <c r="S545" s="38">
        <f t="shared" si="320"/>
        <v>-1460</v>
      </c>
      <c r="T545" s="122"/>
      <c r="U545" s="124"/>
      <c r="V545" s="20">
        <f t="shared" si="321"/>
        <v>-1460</v>
      </c>
      <c r="W545" s="143"/>
    </row>
    <row r="546" spans="1:23" ht="15.75" customHeight="1">
      <c r="A546" s="114"/>
      <c r="B546" s="122"/>
      <c r="C546" s="123"/>
      <c r="D546" s="39">
        <f t="shared" si="315"/>
        <v>-1460</v>
      </c>
      <c r="E546" s="128"/>
      <c r="F546" s="128"/>
      <c r="G546" s="55">
        <f t="shared" si="316"/>
        <v>-1460</v>
      </c>
      <c r="H546" s="124"/>
      <c r="I546" s="123"/>
      <c r="J546" s="39">
        <f t="shared" si="317"/>
        <v>-1460</v>
      </c>
      <c r="K546" s="128"/>
      <c r="L546" s="128"/>
      <c r="M546" s="40">
        <f t="shared" si="318"/>
        <v>-1460</v>
      </c>
      <c r="N546" s="122"/>
      <c r="O546" s="123"/>
      <c r="P546" s="39">
        <f t="shared" si="319"/>
        <v>-1460</v>
      </c>
      <c r="Q546" s="128"/>
      <c r="R546" s="128"/>
      <c r="S546" s="40">
        <f t="shared" si="320"/>
        <v>-1460</v>
      </c>
      <c r="T546" s="122"/>
      <c r="U546" s="123"/>
      <c r="V546" s="49">
        <f t="shared" si="321"/>
        <v>-1460</v>
      </c>
      <c r="W546" s="143"/>
    </row>
    <row r="547" spans="1:23" ht="15.75" customHeight="1">
      <c r="A547" s="87"/>
      <c r="B547" s="77" t="str">
        <f ca="1">IFERROR(__xludf.DUMMYFUNCTION("DATE(VALUE(LEFT($B$2,4)),VALUE(MID($B$2,6,2)),VALUE(RIGHT($B$2,2)))
+ (VALUE(REGEXEXTRACT(INDIRECT(""A""&amp;ROW()+1),""\d+""))-1)*7
+ INT((COLUMN()-COLUMN($B547))/3)
"),"#VALUE!")</f>
        <v>#VALUE!</v>
      </c>
      <c r="C547" s="81"/>
      <c r="D547" s="82"/>
      <c r="E547" s="77" t="str">
        <f ca="1">IFERROR(__xludf.DUMMYFUNCTION("DATE(VALUE(LEFT($B$2,4)),VALUE(MID($B$2,6,2)),VALUE(RIGHT($B$2,2)))
+ (VALUE(REGEXEXTRACT(INDIRECT(""A""&amp;ROW()+1),""\d+""))-1)*7
+ INT((COLUMN()-COLUMN($B547))/3)
"),"#VALUE!")</f>
        <v>#VALUE!</v>
      </c>
      <c r="F547" s="81"/>
      <c r="G547" s="82"/>
      <c r="H547" s="77" t="str">
        <f ca="1">IFERROR(__xludf.DUMMYFUNCTION("DATE(VALUE(LEFT($B$2,4)),VALUE(MID($B$2,6,2)),VALUE(RIGHT($B$2,2)))
+ (VALUE(REGEXEXTRACT(INDIRECT(""A""&amp;ROW()+1),""\d+""))-1)*7
+ INT((COLUMN()-COLUMN($B547))/3)
"),"#VALUE!")</f>
        <v>#VALUE!</v>
      </c>
      <c r="I547" s="81"/>
      <c r="J547" s="82"/>
      <c r="K547" s="77" t="str">
        <f ca="1">IFERROR(__xludf.DUMMYFUNCTION("DATE(VALUE(LEFT($B$2,4)),VALUE(MID($B$2,6,2)),VALUE(RIGHT($B$2,2)))
+ (VALUE(REGEXEXTRACT(INDIRECT(""A""&amp;ROW()+1),""\d+""))-1)*7
+ INT((COLUMN()-COLUMN($B547))/3)
"),"#VALUE!")</f>
        <v>#VALUE!</v>
      </c>
      <c r="L547" s="81"/>
      <c r="M547" s="82"/>
      <c r="N547" s="77" t="str">
        <f ca="1">IFERROR(__xludf.DUMMYFUNCTION("DATE(VALUE(LEFT($B$2,4)),VALUE(MID($B$2,6,2)),VALUE(RIGHT($B$2,2)))
+ (VALUE(REGEXEXTRACT(INDIRECT(""A""&amp;ROW()+1),""\d+""))-1)*7
+ INT((COLUMN()-COLUMN($B547))/3)
"),"#VALUE!")</f>
        <v>#VALUE!</v>
      </c>
      <c r="O547" s="81"/>
      <c r="P547" s="82"/>
      <c r="Q547" s="77" t="str">
        <f ca="1">IFERROR(__xludf.DUMMYFUNCTION("DATE(VALUE(LEFT($B$2,4)),VALUE(MID($B$2,6,2)),VALUE(RIGHT($B$2,2)))
+ (VALUE(REGEXEXTRACT(INDIRECT(""A""&amp;ROW()+1),""\d+""))-1)*7
+ INT((COLUMN()-COLUMN($B547))/3)
"),"#VALUE!")</f>
        <v>#VALUE!</v>
      </c>
      <c r="R547" s="81"/>
      <c r="S547" s="82"/>
      <c r="T547" s="77" t="str">
        <f ca="1">IFERROR(__xludf.DUMMYFUNCTION("DATE(VALUE(LEFT($B$2,4)),VALUE(MID($B$2,6,2)),VALUE(RIGHT($B$2,2)))
+ (VALUE(REGEXEXTRACT(INDIRECT(""A""&amp;ROW()+1),""\d+""))-1)*7
+ INT((COLUMN()-COLUMN($B547))/3)
"),"#VALUE!")</f>
        <v>#VALUE!</v>
      </c>
      <c r="U547" s="81"/>
      <c r="V547" s="82"/>
      <c r="W547" s="52" t="s">
        <v>20</v>
      </c>
    </row>
    <row r="548" spans="1:23" ht="15.75" customHeight="1">
      <c r="A548" s="47" t="s">
        <v>175</v>
      </c>
      <c r="B548" s="109"/>
      <c r="C548" s="109"/>
      <c r="D548" s="42">
        <f>V546+C548</f>
        <v>-1460</v>
      </c>
      <c r="E548" s="112"/>
      <c r="F548" s="111"/>
      <c r="G548" s="36">
        <f>D558+F548</f>
        <v>-1460</v>
      </c>
      <c r="H548" s="132"/>
      <c r="I548" s="109"/>
      <c r="J548" s="42">
        <f>G558+I548</f>
        <v>-1460</v>
      </c>
      <c r="K548" s="112"/>
      <c r="L548" s="111"/>
      <c r="M548" s="18">
        <f>J558+L548</f>
        <v>-1460</v>
      </c>
      <c r="N548" s="113"/>
      <c r="O548" s="109"/>
      <c r="P548" s="35">
        <f>M558+O548</f>
        <v>-1460</v>
      </c>
      <c r="Q548" s="112"/>
      <c r="R548" s="111"/>
      <c r="S548" s="18">
        <f>P558+R548</f>
        <v>-1460</v>
      </c>
      <c r="T548" s="173"/>
      <c r="U548" s="173"/>
      <c r="V548" s="50">
        <f>S558+U548</f>
        <v>-1460</v>
      </c>
      <c r="W548" s="172"/>
    </row>
    <row r="549" spans="1:23" ht="15.75" customHeight="1">
      <c r="A549" s="114"/>
      <c r="B549" s="117"/>
      <c r="C549" s="117"/>
      <c r="D549" s="19">
        <f t="shared" ref="D549:D558" si="322">D548+C549</f>
        <v>-1460</v>
      </c>
      <c r="E549" s="106"/>
      <c r="F549" s="107"/>
      <c r="G549" s="26">
        <f t="shared" ref="G549:G558" si="323">G548+F549</f>
        <v>-1460</v>
      </c>
      <c r="H549" s="133"/>
      <c r="I549" s="117"/>
      <c r="J549" s="19">
        <f t="shared" ref="J549:J558" si="324">J548+I549</f>
        <v>-1460</v>
      </c>
      <c r="K549" s="106"/>
      <c r="L549" s="107"/>
      <c r="M549" s="26">
        <f t="shared" ref="M549:M558" si="325">M548+L549</f>
        <v>-1460</v>
      </c>
      <c r="N549" s="118"/>
      <c r="O549" s="117"/>
      <c r="P549" s="38">
        <f t="shared" ref="P549:P558" si="326">P548+O549</f>
        <v>-1460</v>
      </c>
      <c r="Q549" s="106"/>
      <c r="R549" s="107"/>
      <c r="S549" s="26">
        <f t="shared" ref="S549:S558" si="327">S548+R549</f>
        <v>-1460</v>
      </c>
      <c r="T549" s="136"/>
      <c r="U549" s="136"/>
      <c r="V549" s="45">
        <f t="shared" ref="V549:V558" si="328">V548+U549</f>
        <v>-1460</v>
      </c>
      <c r="W549" s="143"/>
    </row>
    <row r="550" spans="1:23" ht="15.75" customHeight="1">
      <c r="A550" s="114"/>
      <c r="B550" s="118"/>
      <c r="C550" s="117"/>
      <c r="D550" s="19">
        <f t="shared" si="322"/>
        <v>-1460</v>
      </c>
      <c r="E550" s="106"/>
      <c r="F550" s="107"/>
      <c r="G550" s="26">
        <f t="shared" si="323"/>
        <v>-1460</v>
      </c>
      <c r="H550" s="133"/>
      <c r="I550" s="117"/>
      <c r="J550" s="19">
        <f t="shared" si="324"/>
        <v>-1460</v>
      </c>
      <c r="K550" s="106"/>
      <c r="L550" s="107"/>
      <c r="M550" s="26">
        <f t="shared" si="325"/>
        <v>-1460</v>
      </c>
      <c r="N550" s="117"/>
      <c r="O550" s="117"/>
      <c r="P550" s="38">
        <f t="shared" si="326"/>
        <v>-1460</v>
      </c>
      <c r="Q550" s="106"/>
      <c r="R550" s="107"/>
      <c r="S550" s="26">
        <f t="shared" si="327"/>
        <v>-1460</v>
      </c>
      <c r="T550" s="136"/>
      <c r="U550" s="136"/>
      <c r="V550" s="45">
        <f t="shared" si="328"/>
        <v>-1460</v>
      </c>
      <c r="W550" s="143"/>
    </row>
    <row r="551" spans="1:23" ht="15.75" customHeight="1">
      <c r="A551" s="114"/>
      <c r="B551" s="118"/>
      <c r="C551" s="117"/>
      <c r="D551" s="19">
        <f t="shared" si="322"/>
        <v>-1460</v>
      </c>
      <c r="E551" s="106"/>
      <c r="F551" s="107"/>
      <c r="G551" s="26">
        <f t="shared" si="323"/>
        <v>-1460</v>
      </c>
      <c r="H551" s="133"/>
      <c r="I551" s="117"/>
      <c r="J551" s="19">
        <f t="shared" si="324"/>
        <v>-1460</v>
      </c>
      <c r="K551" s="106"/>
      <c r="L551" s="107"/>
      <c r="M551" s="26">
        <f t="shared" si="325"/>
        <v>-1460</v>
      </c>
      <c r="N551" s="117"/>
      <c r="O551" s="117"/>
      <c r="P551" s="38">
        <f t="shared" si="326"/>
        <v>-1460</v>
      </c>
      <c r="Q551" s="106"/>
      <c r="R551" s="107"/>
      <c r="S551" s="26">
        <f t="shared" si="327"/>
        <v>-1460</v>
      </c>
      <c r="T551" s="136"/>
      <c r="U551" s="136"/>
      <c r="V551" s="45">
        <f t="shared" si="328"/>
        <v>-1460</v>
      </c>
      <c r="W551" s="143"/>
    </row>
    <row r="552" spans="1:23" ht="15.75" customHeight="1">
      <c r="A552" s="114"/>
      <c r="B552" s="118"/>
      <c r="C552" s="117"/>
      <c r="D552" s="19">
        <f t="shared" si="322"/>
        <v>-1460</v>
      </c>
      <c r="E552" s="106"/>
      <c r="F552" s="107"/>
      <c r="G552" s="26">
        <f t="shared" si="323"/>
        <v>-1460</v>
      </c>
      <c r="H552" s="133"/>
      <c r="I552" s="117"/>
      <c r="J552" s="19">
        <f t="shared" si="324"/>
        <v>-1460</v>
      </c>
      <c r="K552" s="106"/>
      <c r="L552" s="107"/>
      <c r="M552" s="26">
        <f t="shared" si="325"/>
        <v>-1460</v>
      </c>
      <c r="N552" s="117"/>
      <c r="O552" s="117"/>
      <c r="P552" s="38">
        <f t="shared" si="326"/>
        <v>-1460</v>
      </c>
      <c r="Q552" s="106"/>
      <c r="R552" s="107"/>
      <c r="S552" s="26">
        <f t="shared" si="327"/>
        <v>-1460</v>
      </c>
      <c r="T552" s="136"/>
      <c r="U552" s="136"/>
      <c r="V552" s="45">
        <f t="shared" si="328"/>
        <v>-1460</v>
      </c>
      <c r="W552" s="143"/>
    </row>
    <row r="553" spans="1:23" ht="15.75" customHeight="1">
      <c r="A553" s="114"/>
      <c r="B553" s="118"/>
      <c r="C553" s="117"/>
      <c r="D553" s="19">
        <f t="shared" si="322"/>
        <v>-1460</v>
      </c>
      <c r="E553" s="106"/>
      <c r="F553" s="107"/>
      <c r="G553" s="26">
        <f t="shared" si="323"/>
        <v>-1460</v>
      </c>
      <c r="H553" s="133"/>
      <c r="I553" s="117"/>
      <c r="J553" s="19">
        <f t="shared" si="324"/>
        <v>-1460</v>
      </c>
      <c r="K553" s="106"/>
      <c r="L553" s="107"/>
      <c r="M553" s="26">
        <f t="shared" si="325"/>
        <v>-1460</v>
      </c>
      <c r="N553" s="117"/>
      <c r="O553" s="117"/>
      <c r="P553" s="38">
        <f t="shared" si="326"/>
        <v>-1460</v>
      </c>
      <c r="Q553" s="106"/>
      <c r="R553" s="107"/>
      <c r="S553" s="26">
        <f t="shared" si="327"/>
        <v>-1460</v>
      </c>
      <c r="T553" s="136"/>
      <c r="U553" s="136"/>
      <c r="V553" s="45">
        <f t="shared" si="328"/>
        <v>-1460</v>
      </c>
      <c r="W553" s="143"/>
    </row>
    <row r="554" spans="1:23" ht="15.75" customHeight="1">
      <c r="A554" s="114"/>
      <c r="B554" s="118"/>
      <c r="C554" s="117"/>
      <c r="D554" s="19">
        <f t="shared" si="322"/>
        <v>-1460</v>
      </c>
      <c r="E554" s="106"/>
      <c r="F554" s="107"/>
      <c r="G554" s="26">
        <f t="shared" si="323"/>
        <v>-1460</v>
      </c>
      <c r="H554" s="133"/>
      <c r="I554" s="117"/>
      <c r="J554" s="19">
        <f t="shared" si="324"/>
        <v>-1460</v>
      </c>
      <c r="K554" s="106"/>
      <c r="L554" s="107"/>
      <c r="M554" s="26">
        <f t="shared" si="325"/>
        <v>-1460</v>
      </c>
      <c r="N554" s="117"/>
      <c r="O554" s="117"/>
      <c r="P554" s="38">
        <f t="shared" si="326"/>
        <v>-1460</v>
      </c>
      <c r="Q554" s="106"/>
      <c r="R554" s="107"/>
      <c r="S554" s="26">
        <f t="shared" si="327"/>
        <v>-1460</v>
      </c>
      <c r="T554" s="136"/>
      <c r="U554" s="136"/>
      <c r="V554" s="45">
        <f t="shared" si="328"/>
        <v>-1460</v>
      </c>
      <c r="W554" s="143"/>
    </row>
    <row r="555" spans="1:23" ht="15.75" customHeight="1">
      <c r="A555" s="114"/>
      <c r="B555" s="118"/>
      <c r="C555" s="117"/>
      <c r="D555" s="19">
        <f t="shared" si="322"/>
        <v>-1460</v>
      </c>
      <c r="E555" s="106"/>
      <c r="F555" s="107"/>
      <c r="G555" s="26">
        <f t="shared" si="323"/>
        <v>-1460</v>
      </c>
      <c r="H555" s="133"/>
      <c r="I555" s="117"/>
      <c r="J555" s="19">
        <f t="shared" si="324"/>
        <v>-1460</v>
      </c>
      <c r="K555" s="106"/>
      <c r="L555" s="107"/>
      <c r="M555" s="26">
        <f t="shared" si="325"/>
        <v>-1460</v>
      </c>
      <c r="N555" s="117"/>
      <c r="O555" s="117"/>
      <c r="P555" s="38">
        <f t="shared" si="326"/>
        <v>-1460</v>
      </c>
      <c r="Q555" s="106"/>
      <c r="R555" s="107"/>
      <c r="S555" s="26">
        <f t="shared" si="327"/>
        <v>-1460</v>
      </c>
      <c r="T555" s="136"/>
      <c r="U555" s="136"/>
      <c r="V555" s="45">
        <f t="shared" si="328"/>
        <v>-1460</v>
      </c>
      <c r="W555" s="143"/>
    </row>
    <row r="556" spans="1:23" ht="15.75" customHeight="1">
      <c r="A556" s="114"/>
      <c r="B556" s="117"/>
      <c r="C556" s="117"/>
      <c r="D556" s="19">
        <f t="shared" si="322"/>
        <v>-1460</v>
      </c>
      <c r="E556" s="106"/>
      <c r="F556" s="107"/>
      <c r="G556" s="26">
        <f t="shared" si="323"/>
        <v>-1460</v>
      </c>
      <c r="H556" s="133"/>
      <c r="I556" s="117"/>
      <c r="J556" s="19">
        <f t="shared" si="324"/>
        <v>-1460</v>
      </c>
      <c r="K556" s="106"/>
      <c r="L556" s="107"/>
      <c r="M556" s="26">
        <f t="shared" si="325"/>
        <v>-1460</v>
      </c>
      <c r="N556" s="117"/>
      <c r="O556" s="117"/>
      <c r="P556" s="38">
        <f t="shared" si="326"/>
        <v>-1460</v>
      </c>
      <c r="Q556" s="106"/>
      <c r="R556" s="107"/>
      <c r="S556" s="26">
        <f t="shared" si="327"/>
        <v>-1460</v>
      </c>
      <c r="T556" s="136"/>
      <c r="U556" s="136"/>
      <c r="V556" s="45">
        <f t="shared" si="328"/>
        <v>-1460</v>
      </c>
      <c r="W556" s="143"/>
    </row>
    <row r="557" spans="1:23" ht="15.75" customHeight="1">
      <c r="A557" s="114"/>
      <c r="B557" s="117"/>
      <c r="C557" s="117"/>
      <c r="D557" s="19">
        <f t="shared" si="322"/>
        <v>-1460</v>
      </c>
      <c r="E557" s="122"/>
      <c r="F557" s="123"/>
      <c r="G557" s="26">
        <f t="shared" si="323"/>
        <v>-1460</v>
      </c>
      <c r="H557" s="133"/>
      <c r="I557" s="117"/>
      <c r="J557" s="19">
        <f t="shared" si="324"/>
        <v>-1460</v>
      </c>
      <c r="K557" s="122"/>
      <c r="L557" s="123"/>
      <c r="M557" s="26">
        <f t="shared" si="325"/>
        <v>-1460</v>
      </c>
      <c r="N557" s="117"/>
      <c r="O557" s="117"/>
      <c r="P557" s="38">
        <f t="shared" si="326"/>
        <v>-1460</v>
      </c>
      <c r="Q557" s="122"/>
      <c r="R557" s="123"/>
      <c r="S557" s="26">
        <f t="shared" si="327"/>
        <v>-1460</v>
      </c>
      <c r="T557" s="136"/>
      <c r="U557" s="136"/>
      <c r="V557" s="45">
        <f t="shared" si="328"/>
        <v>-1460</v>
      </c>
      <c r="W557" s="143"/>
    </row>
    <row r="558" spans="1:23" ht="15.75" customHeight="1">
      <c r="A558" s="114"/>
      <c r="B558" s="128"/>
      <c r="C558" s="128"/>
      <c r="D558" s="29">
        <f t="shared" si="322"/>
        <v>-1460</v>
      </c>
      <c r="E558" s="122"/>
      <c r="F558" s="123"/>
      <c r="G558" s="53">
        <f t="shared" si="323"/>
        <v>-1460</v>
      </c>
      <c r="H558" s="140"/>
      <c r="I558" s="128"/>
      <c r="J558" s="29">
        <f t="shared" si="324"/>
        <v>-1460</v>
      </c>
      <c r="K558" s="122"/>
      <c r="L558" s="123"/>
      <c r="M558" s="39">
        <f t="shared" si="325"/>
        <v>-1460</v>
      </c>
      <c r="N558" s="128"/>
      <c r="O558" s="128"/>
      <c r="P558" s="40">
        <f t="shared" si="326"/>
        <v>-1460</v>
      </c>
      <c r="Q558" s="122"/>
      <c r="R558" s="123"/>
      <c r="S558" s="39">
        <f t="shared" si="327"/>
        <v>-1460</v>
      </c>
      <c r="T558" s="141"/>
      <c r="U558" s="141"/>
      <c r="V558" s="46">
        <f t="shared" si="328"/>
        <v>-1460</v>
      </c>
      <c r="W558" s="143"/>
    </row>
    <row r="559" spans="1:23" ht="15.75" customHeight="1">
      <c r="A559" s="87"/>
      <c r="B559" s="77" t="str">
        <f ca="1">IFERROR(__xludf.DUMMYFUNCTION("DATE(VALUE(LEFT($B$2,4)),VALUE(MID($B$2,6,2)),VALUE(RIGHT($B$2,2)))
+ (VALUE(REGEXEXTRACT(INDIRECT(""A""&amp;ROW()+1),""\d+""))-1)*7
+ INT((COLUMN()-COLUMN($B559))/3)
"),"#VALUE!")</f>
        <v>#VALUE!</v>
      </c>
      <c r="C559" s="81"/>
      <c r="D559" s="82"/>
      <c r="E559" s="77" t="str">
        <f ca="1">IFERROR(__xludf.DUMMYFUNCTION("DATE(VALUE(LEFT($B$2,4)),VALUE(MID($B$2,6,2)),VALUE(RIGHT($B$2,2)))
+ (VALUE(REGEXEXTRACT(INDIRECT(""A""&amp;ROW()+1),""\d+""))-1)*7
+ INT((COLUMN()-COLUMN($B559))/3)
"),"#VALUE!")</f>
        <v>#VALUE!</v>
      </c>
      <c r="F559" s="81"/>
      <c r="G559" s="82"/>
      <c r="H559" s="77" t="str">
        <f ca="1">IFERROR(__xludf.DUMMYFUNCTION("DATE(VALUE(LEFT($B$2,4)),VALUE(MID($B$2,6,2)),VALUE(RIGHT($B$2,2)))
+ (VALUE(REGEXEXTRACT(INDIRECT(""A""&amp;ROW()+1),""\d+""))-1)*7
+ INT((COLUMN()-COLUMN($B559))/3)
"),"#VALUE!")</f>
        <v>#VALUE!</v>
      </c>
      <c r="I559" s="81"/>
      <c r="J559" s="82"/>
      <c r="K559" s="77" t="str">
        <f ca="1">IFERROR(__xludf.DUMMYFUNCTION("DATE(VALUE(LEFT($B$2,4)),VALUE(MID($B$2,6,2)),VALUE(RIGHT($B$2,2)))
+ (VALUE(REGEXEXTRACT(INDIRECT(""A""&amp;ROW()+1),""\d+""))-1)*7
+ INT((COLUMN()-COLUMN($B559))/3)
"),"#VALUE!")</f>
        <v>#VALUE!</v>
      </c>
      <c r="L559" s="81"/>
      <c r="M559" s="82"/>
      <c r="N559" s="77" t="str">
        <f ca="1">IFERROR(__xludf.DUMMYFUNCTION("DATE(VALUE(LEFT($B$2,4)),VALUE(MID($B$2,6,2)),VALUE(RIGHT($B$2,2)))
+ (VALUE(REGEXEXTRACT(INDIRECT(""A""&amp;ROW()+1),""\d+""))-1)*7
+ INT((COLUMN()-COLUMN($B559))/3)
"),"#VALUE!")</f>
        <v>#VALUE!</v>
      </c>
      <c r="O559" s="81"/>
      <c r="P559" s="82"/>
      <c r="Q559" s="77" t="str">
        <f ca="1">IFERROR(__xludf.DUMMYFUNCTION("DATE(VALUE(LEFT($B$2,4)),VALUE(MID($B$2,6,2)),VALUE(RIGHT($B$2,2)))
+ (VALUE(REGEXEXTRACT(INDIRECT(""A""&amp;ROW()+1),""\d+""))-1)*7
+ INT((COLUMN()-COLUMN($B559))/3)
"),"#VALUE!")</f>
        <v>#VALUE!</v>
      </c>
      <c r="R559" s="81"/>
      <c r="S559" s="82"/>
      <c r="T559" s="77" t="str">
        <f ca="1">IFERROR(__xludf.DUMMYFUNCTION("DATE(VALUE(LEFT($B$2,4)),VALUE(MID($B$2,6,2)),VALUE(RIGHT($B$2,2)))
+ (VALUE(REGEXEXTRACT(INDIRECT(""A""&amp;ROW()+1),""\d+""))-1)*7
+ INT((COLUMN()-COLUMN($B559))/3)
"),"#VALUE!")</f>
        <v>#VALUE!</v>
      </c>
      <c r="U559" s="81"/>
      <c r="V559" s="82"/>
      <c r="W559" s="143"/>
    </row>
    <row r="560" spans="1:23" ht="15.75" customHeight="1">
      <c r="A560" s="51" t="s">
        <v>176</v>
      </c>
      <c r="B560" s="112"/>
      <c r="C560" s="111"/>
      <c r="D560" s="17">
        <f>V558+C560</f>
        <v>-1460</v>
      </c>
      <c r="E560" s="109"/>
      <c r="F560" s="109"/>
      <c r="G560" s="42">
        <f>D570+F560</f>
        <v>-1460</v>
      </c>
      <c r="H560" s="112"/>
      <c r="I560" s="111"/>
      <c r="J560" s="17">
        <f>G570+I560</f>
        <v>-1460</v>
      </c>
      <c r="K560" s="109"/>
      <c r="L560" s="109"/>
      <c r="M560" s="35">
        <f>J570+L560</f>
        <v>-1460</v>
      </c>
      <c r="N560" s="112"/>
      <c r="O560" s="111"/>
      <c r="P560" s="17">
        <f>M570+O560</f>
        <v>-1460</v>
      </c>
      <c r="Q560" s="109"/>
      <c r="R560" s="109"/>
      <c r="S560" s="35">
        <f>P570+R560</f>
        <v>-1460</v>
      </c>
      <c r="T560" s="112"/>
      <c r="U560" s="111"/>
      <c r="V560" s="48">
        <f>S570+U560</f>
        <v>-1460</v>
      </c>
      <c r="W560" s="143"/>
    </row>
    <row r="561" spans="1:23" ht="15.75" customHeight="1">
      <c r="A561" s="114"/>
      <c r="B561" s="106"/>
      <c r="C561" s="107"/>
      <c r="D561" s="26">
        <f t="shared" ref="D561:D570" si="329">D560+C561</f>
        <v>-1460</v>
      </c>
      <c r="E561" s="117"/>
      <c r="F561" s="117"/>
      <c r="G561" s="19">
        <f t="shared" ref="G561:G570" si="330">G560+F561</f>
        <v>-1460</v>
      </c>
      <c r="H561" s="106"/>
      <c r="I561" s="107"/>
      <c r="J561" s="26">
        <f t="shared" ref="J561:J570" si="331">J560+I561</f>
        <v>-1460</v>
      </c>
      <c r="K561" s="117"/>
      <c r="L561" s="117"/>
      <c r="M561" s="38">
        <f t="shared" ref="M561:M570" si="332">M560+L561</f>
        <v>-1460</v>
      </c>
      <c r="N561" s="106"/>
      <c r="O561" s="107"/>
      <c r="P561" s="26">
        <f t="shared" ref="P561:P570" si="333">P560+O561</f>
        <v>-1460</v>
      </c>
      <c r="Q561" s="117"/>
      <c r="R561" s="117"/>
      <c r="S561" s="38">
        <f t="shared" ref="S561:S570" si="334">S560+R561</f>
        <v>-1460</v>
      </c>
      <c r="T561" s="106"/>
      <c r="U561" s="107"/>
      <c r="V561" s="20">
        <f t="shared" ref="V561:V570" si="335">V560+U561</f>
        <v>-1460</v>
      </c>
      <c r="W561" s="143"/>
    </row>
    <row r="562" spans="1:23" ht="15.75" customHeight="1">
      <c r="A562" s="114"/>
      <c r="B562" s="106"/>
      <c r="C562" s="107"/>
      <c r="D562" s="26">
        <f t="shared" si="329"/>
        <v>-1460</v>
      </c>
      <c r="E562" s="117"/>
      <c r="F562" s="117"/>
      <c r="G562" s="19">
        <f t="shared" si="330"/>
        <v>-1460</v>
      </c>
      <c r="H562" s="106"/>
      <c r="I562" s="107"/>
      <c r="J562" s="26">
        <f t="shared" si="331"/>
        <v>-1460</v>
      </c>
      <c r="K562" s="117"/>
      <c r="L562" s="117"/>
      <c r="M562" s="38">
        <f t="shared" si="332"/>
        <v>-1460</v>
      </c>
      <c r="N562" s="106"/>
      <c r="O562" s="107"/>
      <c r="P562" s="26">
        <f t="shared" si="333"/>
        <v>-1460</v>
      </c>
      <c r="Q562" s="117"/>
      <c r="R562" s="117"/>
      <c r="S562" s="38">
        <f t="shared" si="334"/>
        <v>-1460</v>
      </c>
      <c r="T562" s="106"/>
      <c r="U562" s="116"/>
      <c r="V562" s="20">
        <f t="shared" si="335"/>
        <v>-1460</v>
      </c>
      <c r="W562" s="143"/>
    </row>
    <row r="563" spans="1:23" ht="15.75" customHeight="1">
      <c r="A563" s="114"/>
      <c r="B563" s="106"/>
      <c r="C563" s="107"/>
      <c r="D563" s="26">
        <f t="shared" si="329"/>
        <v>-1460</v>
      </c>
      <c r="E563" s="117"/>
      <c r="F563" s="117"/>
      <c r="G563" s="19">
        <f t="shared" si="330"/>
        <v>-1460</v>
      </c>
      <c r="H563" s="106"/>
      <c r="I563" s="107"/>
      <c r="J563" s="26">
        <f t="shared" si="331"/>
        <v>-1460</v>
      </c>
      <c r="K563" s="117"/>
      <c r="L563" s="117"/>
      <c r="M563" s="38">
        <f t="shared" si="332"/>
        <v>-1460</v>
      </c>
      <c r="N563" s="106"/>
      <c r="O563" s="107"/>
      <c r="P563" s="26">
        <f t="shared" si="333"/>
        <v>-1460</v>
      </c>
      <c r="Q563" s="117"/>
      <c r="R563" s="117"/>
      <c r="S563" s="38">
        <f t="shared" si="334"/>
        <v>-1460</v>
      </c>
      <c r="T563" s="106"/>
      <c r="U563" s="116"/>
      <c r="V563" s="20">
        <f t="shared" si="335"/>
        <v>-1460</v>
      </c>
      <c r="W563" s="143"/>
    </row>
    <row r="564" spans="1:23" ht="15.75" customHeight="1">
      <c r="A564" s="114"/>
      <c r="B564" s="106"/>
      <c r="C564" s="107"/>
      <c r="D564" s="26">
        <f t="shared" si="329"/>
        <v>-1460</v>
      </c>
      <c r="E564" s="117"/>
      <c r="F564" s="117"/>
      <c r="G564" s="19">
        <f t="shared" si="330"/>
        <v>-1460</v>
      </c>
      <c r="H564" s="106"/>
      <c r="I564" s="107"/>
      <c r="J564" s="26">
        <f t="shared" si="331"/>
        <v>-1460</v>
      </c>
      <c r="K564" s="117"/>
      <c r="L564" s="117"/>
      <c r="M564" s="38">
        <f t="shared" si="332"/>
        <v>-1460</v>
      </c>
      <c r="N564" s="106"/>
      <c r="O564" s="107"/>
      <c r="P564" s="26">
        <f t="shared" si="333"/>
        <v>-1460</v>
      </c>
      <c r="Q564" s="117"/>
      <c r="R564" s="117"/>
      <c r="S564" s="38">
        <f t="shared" si="334"/>
        <v>-1460</v>
      </c>
      <c r="T564" s="106"/>
      <c r="U564" s="116"/>
      <c r="V564" s="20">
        <f t="shared" si="335"/>
        <v>-1460</v>
      </c>
      <c r="W564" s="143"/>
    </row>
    <row r="565" spans="1:23" ht="15.75" customHeight="1">
      <c r="A565" s="114"/>
      <c r="B565" s="106"/>
      <c r="C565" s="107"/>
      <c r="D565" s="26">
        <f t="shared" si="329"/>
        <v>-1460</v>
      </c>
      <c r="E565" s="117"/>
      <c r="F565" s="117"/>
      <c r="G565" s="19">
        <f t="shared" si="330"/>
        <v>-1460</v>
      </c>
      <c r="H565" s="106"/>
      <c r="I565" s="107"/>
      <c r="J565" s="26">
        <f t="shared" si="331"/>
        <v>-1460</v>
      </c>
      <c r="K565" s="117"/>
      <c r="L565" s="117"/>
      <c r="M565" s="38">
        <f t="shared" si="332"/>
        <v>-1460</v>
      </c>
      <c r="N565" s="106"/>
      <c r="O565" s="107"/>
      <c r="P565" s="26">
        <f t="shared" si="333"/>
        <v>-1460</v>
      </c>
      <c r="Q565" s="117"/>
      <c r="R565" s="117"/>
      <c r="S565" s="38">
        <f t="shared" si="334"/>
        <v>-1460</v>
      </c>
      <c r="T565" s="106"/>
      <c r="U565" s="116"/>
      <c r="V565" s="20">
        <f t="shared" si="335"/>
        <v>-1460</v>
      </c>
      <c r="W565" s="143"/>
    </row>
    <row r="566" spans="1:23" ht="15.75" customHeight="1">
      <c r="A566" s="114"/>
      <c r="B566" s="106"/>
      <c r="C566" s="107"/>
      <c r="D566" s="26">
        <f t="shared" si="329"/>
        <v>-1460</v>
      </c>
      <c r="E566" s="117"/>
      <c r="F566" s="117"/>
      <c r="G566" s="19">
        <f t="shared" si="330"/>
        <v>-1460</v>
      </c>
      <c r="H566" s="106"/>
      <c r="I566" s="107"/>
      <c r="J566" s="26">
        <f t="shared" si="331"/>
        <v>-1460</v>
      </c>
      <c r="K566" s="117"/>
      <c r="L566" s="117"/>
      <c r="M566" s="38">
        <f t="shared" si="332"/>
        <v>-1460</v>
      </c>
      <c r="N566" s="106"/>
      <c r="O566" s="107"/>
      <c r="P566" s="26">
        <f t="shared" si="333"/>
        <v>-1460</v>
      </c>
      <c r="Q566" s="117"/>
      <c r="R566" s="117"/>
      <c r="S566" s="38">
        <f t="shared" si="334"/>
        <v>-1460</v>
      </c>
      <c r="T566" s="106"/>
      <c r="U566" s="116"/>
      <c r="V566" s="20">
        <f t="shared" si="335"/>
        <v>-1460</v>
      </c>
      <c r="W566" s="143"/>
    </row>
    <row r="567" spans="1:23" ht="15.75" customHeight="1">
      <c r="A567" s="114"/>
      <c r="B567" s="106"/>
      <c r="C567" s="107"/>
      <c r="D567" s="26">
        <f t="shared" si="329"/>
        <v>-1460</v>
      </c>
      <c r="E567" s="117"/>
      <c r="F567" s="117"/>
      <c r="G567" s="19">
        <f t="shared" si="330"/>
        <v>-1460</v>
      </c>
      <c r="H567" s="106"/>
      <c r="I567" s="107"/>
      <c r="J567" s="26">
        <f t="shared" si="331"/>
        <v>-1460</v>
      </c>
      <c r="K567" s="117"/>
      <c r="L567" s="117"/>
      <c r="M567" s="38">
        <f t="shared" si="332"/>
        <v>-1460</v>
      </c>
      <c r="N567" s="106"/>
      <c r="O567" s="107"/>
      <c r="P567" s="26">
        <f t="shared" si="333"/>
        <v>-1460</v>
      </c>
      <c r="Q567" s="117"/>
      <c r="R567" s="117"/>
      <c r="S567" s="38">
        <f t="shared" si="334"/>
        <v>-1460</v>
      </c>
      <c r="T567" s="106"/>
      <c r="U567" s="116"/>
      <c r="V567" s="20">
        <f t="shared" si="335"/>
        <v>-1460</v>
      </c>
      <c r="W567" s="143"/>
    </row>
    <row r="568" spans="1:23" ht="15.75" customHeight="1">
      <c r="A568" s="114"/>
      <c r="B568" s="122"/>
      <c r="C568" s="123"/>
      <c r="D568" s="26">
        <f t="shared" si="329"/>
        <v>-1460</v>
      </c>
      <c r="E568" s="117"/>
      <c r="F568" s="117"/>
      <c r="G568" s="19">
        <f t="shared" si="330"/>
        <v>-1460</v>
      </c>
      <c r="H568" s="122"/>
      <c r="I568" s="123"/>
      <c r="J568" s="26">
        <f t="shared" si="331"/>
        <v>-1460</v>
      </c>
      <c r="K568" s="117"/>
      <c r="L568" s="117"/>
      <c r="M568" s="38">
        <f t="shared" si="332"/>
        <v>-1460</v>
      </c>
      <c r="N568" s="122"/>
      <c r="O568" s="123"/>
      <c r="P568" s="26">
        <f t="shared" si="333"/>
        <v>-1460</v>
      </c>
      <c r="Q568" s="117"/>
      <c r="R568" s="117"/>
      <c r="S568" s="38">
        <f t="shared" si="334"/>
        <v>-1460</v>
      </c>
      <c r="T568" s="106"/>
      <c r="U568" s="116"/>
      <c r="V568" s="20">
        <f t="shared" si="335"/>
        <v>-1460</v>
      </c>
      <c r="W568" s="143"/>
    </row>
    <row r="569" spans="1:23" ht="15.75" customHeight="1">
      <c r="A569" s="114"/>
      <c r="B569" s="122"/>
      <c r="C569" s="123"/>
      <c r="D569" s="26">
        <f t="shared" si="329"/>
        <v>-1460</v>
      </c>
      <c r="E569" s="117"/>
      <c r="F569" s="117"/>
      <c r="G569" s="19">
        <f t="shared" si="330"/>
        <v>-1460</v>
      </c>
      <c r="H569" s="122"/>
      <c r="I569" s="123"/>
      <c r="J569" s="26">
        <f t="shared" si="331"/>
        <v>-1460</v>
      </c>
      <c r="K569" s="117"/>
      <c r="L569" s="117"/>
      <c r="M569" s="38">
        <f t="shared" si="332"/>
        <v>-1460</v>
      </c>
      <c r="N569" s="122"/>
      <c r="O569" s="123"/>
      <c r="P569" s="26">
        <f t="shared" si="333"/>
        <v>-1460</v>
      </c>
      <c r="Q569" s="117"/>
      <c r="R569" s="117"/>
      <c r="S569" s="38">
        <f t="shared" si="334"/>
        <v>-1460</v>
      </c>
      <c r="T569" s="122"/>
      <c r="U569" s="124"/>
      <c r="V569" s="20">
        <f t="shared" si="335"/>
        <v>-1460</v>
      </c>
      <c r="W569" s="143"/>
    </row>
    <row r="570" spans="1:23" ht="15.75" customHeight="1">
      <c r="A570" s="114"/>
      <c r="B570" s="122"/>
      <c r="C570" s="123"/>
      <c r="D570" s="39">
        <f t="shared" si="329"/>
        <v>-1460</v>
      </c>
      <c r="E570" s="128"/>
      <c r="F570" s="128"/>
      <c r="G570" s="29">
        <f t="shared" si="330"/>
        <v>-1460</v>
      </c>
      <c r="H570" s="122"/>
      <c r="I570" s="123"/>
      <c r="J570" s="39">
        <f t="shared" si="331"/>
        <v>-1460</v>
      </c>
      <c r="K570" s="128"/>
      <c r="L570" s="128"/>
      <c r="M570" s="40">
        <f t="shared" si="332"/>
        <v>-1460</v>
      </c>
      <c r="N570" s="122"/>
      <c r="O570" s="123"/>
      <c r="P570" s="39">
        <f t="shared" si="333"/>
        <v>-1460</v>
      </c>
      <c r="Q570" s="128"/>
      <c r="R570" s="128"/>
      <c r="S570" s="40">
        <f t="shared" si="334"/>
        <v>-1460</v>
      </c>
      <c r="T570" s="122"/>
      <c r="U570" s="123"/>
      <c r="V570" s="49">
        <f t="shared" si="335"/>
        <v>-1460</v>
      </c>
      <c r="W570" s="143"/>
    </row>
    <row r="571" spans="1:23" ht="15.75" customHeight="1">
      <c r="A571" s="87"/>
      <c r="B571" s="77" t="str">
        <f ca="1">IFERROR(__xludf.DUMMYFUNCTION("DATE(VALUE(LEFT($B$2,4)),VALUE(MID($B$2,6,2)),VALUE(RIGHT($B$2,2)))
+ (VALUE(REGEXEXTRACT(INDIRECT(""A""&amp;ROW()+1),""\d+""))-1)*7
+ INT((COLUMN()-COLUMN($B571))/3)
"),"#VALUE!")</f>
        <v>#VALUE!</v>
      </c>
      <c r="C571" s="81"/>
      <c r="D571" s="82"/>
      <c r="E571" s="77" t="str">
        <f ca="1">IFERROR(__xludf.DUMMYFUNCTION("DATE(VALUE(LEFT($B$2,4)),VALUE(MID($B$2,6,2)),VALUE(RIGHT($B$2,2)))
+ (VALUE(REGEXEXTRACT(INDIRECT(""A""&amp;ROW()+1),""\d+""))-1)*7
+ INT((COLUMN()-COLUMN($B571))/3)
"),"#VALUE!")</f>
        <v>#VALUE!</v>
      </c>
      <c r="F571" s="81"/>
      <c r="G571" s="82"/>
      <c r="H571" s="77" t="str">
        <f ca="1">IFERROR(__xludf.DUMMYFUNCTION("DATE(VALUE(LEFT($B$2,4)),VALUE(MID($B$2,6,2)),VALUE(RIGHT($B$2,2)))
+ (VALUE(REGEXEXTRACT(INDIRECT(""A""&amp;ROW()+1),""\d+""))-1)*7
+ INT((COLUMN()-COLUMN($B571))/3)
"),"#VALUE!")</f>
        <v>#VALUE!</v>
      </c>
      <c r="I571" s="81"/>
      <c r="J571" s="82"/>
      <c r="K571" s="77" t="str">
        <f ca="1">IFERROR(__xludf.DUMMYFUNCTION("DATE(VALUE(LEFT($B$2,4)),VALUE(MID($B$2,6,2)),VALUE(RIGHT($B$2,2)))
+ (VALUE(REGEXEXTRACT(INDIRECT(""A""&amp;ROW()+1),""\d+""))-1)*7
+ INT((COLUMN()-COLUMN($B571))/3)
"),"#VALUE!")</f>
        <v>#VALUE!</v>
      </c>
      <c r="L571" s="81"/>
      <c r="M571" s="82"/>
      <c r="N571" s="77" t="str">
        <f ca="1">IFERROR(__xludf.DUMMYFUNCTION("DATE(VALUE(LEFT($B$2,4)),VALUE(MID($B$2,6,2)),VALUE(RIGHT($B$2,2)))
+ (VALUE(REGEXEXTRACT(INDIRECT(""A""&amp;ROW()+1),""\d+""))-1)*7
+ INT((COLUMN()-COLUMN($B571))/3)
"),"#VALUE!")</f>
        <v>#VALUE!</v>
      </c>
      <c r="O571" s="81"/>
      <c r="P571" s="82"/>
      <c r="Q571" s="77" t="str">
        <f ca="1">IFERROR(__xludf.DUMMYFUNCTION("DATE(VALUE(LEFT($B$2,4)),VALUE(MID($B$2,6,2)),VALUE(RIGHT($B$2,2)))
+ (VALUE(REGEXEXTRACT(INDIRECT(""A""&amp;ROW()+1),""\d+""))-1)*7
+ INT((COLUMN()-COLUMN($B571))/3)
"),"#VALUE!")</f>
        <v>#VALUE!</v>
      </c>
      <c r="R571" s="81"/>
      <c r="S571" s="82"/>
      <c r="T571" s="77" t="str">
        <f ca="1">IFERROR(__xludf.DUMMYFUNCTION("DATE(VALUE(LEFT($B$2,4)),VALUE(MID($B$2,6,2)),VALUE(RIGHT($B$2,2)))
+ (VALUE(REGEXEXTRACT(INDIRECT(""A""&amp;ROW()+1),""\d+""))-1)*7
+ INT((COLUMN()-COLUMN($B571))/3)
"),"#VALUE!")</f>
        <v>#VALUE!</v>
      </c>
      <c r="U571" s="81"/>
      <c r="V571" s="82"/>
      <c r="W571" s="52" t="s">
        <v>20</v>
      </c>
    </row>
    <row r="572" spans="1:23" ht="15.75" customHeight="1">
      <c r="A572" s="47" t="s">
        <v>177</v>
      </c>
      <c r="B572" s="113"/>
      <c r="C572" s="109"/>
      <c r="D572" s="42">
        <f>V570+C572</f>
        <v>-1460</v>
      </c>
      <c r="E572" s="112"/>
      <c r="F572" s="111"/>
      <c r="G572" s="36">
        <f>D582+F572</f>
        <v>-1460</v>
      </c>
      <c r="H572" s="109"/>
      <c r="I572" s="109"/>
      <c r="J572" s="42">
        <f>G582+I572</f>
        <v>-1460</v>
      </c>
      <c r="K572" s="112"/>
      <c r="L572" s="111"/>
      <c r="M572" s="18">
        <f>J582+L572</f>
        <v>-1460</v>
      </c>
      <c r="N572" s="113"/>
      <c r="O572" s="109"/>
      <c r="P572" s="35">
        <f>M582+O572</f>
        <v>-1460</v>
      </c>
      <c r="Q572" s="112"/>
      <c r="R572" s="111"/>
      <c r="S572" s="36">
        <f>P582+R572</f>
        <v>-1460</v>
      </c>
      <c r="T572" s="176"/>
      <c r="U572" s="173"/>
      <c r="V572" s="50">
        <f>S582+U572</f>
        <v>-1460</v>
      </c>
      <c r="W572" s="172"/>
    </row>
    <row r="573" spans="1:23" ht="15.75" customHeight="1">
      <c r="A573" s="114"/>
      <c r="B573" s="118"/>
      <c r="C573" s="117"/>
      <c r="D573" s="19">
        <f t="shared" ref="D573:D582" si="336">D572+C573</f>
        <v>-1460</v>
      </c>
      <c r="E573" s="106"/>
      <c r="F573" s="107"/>
      <c r="G573" s="26">
        <f t="shared" ref="G573:G582" si="337">G572+F573</f>
        <v>-1460</v>
      </c>
      <c r="H573" s="117"/>
      <c r="I573" s="117"/>
      <c r="J573" s="19">
        <f t="shared" ref="J573:J582" si="338">J572+I573</f>
        <v>-1460</v>
      </c>
      <c r="K573" s="106"/>
      <c r="L573" s="107"/>
      <c r="M573" s="26">
        <f t="shared" ref="M573:M582" si="339">M572+L573</f>
        <v>-1460</v>
      </c>
      <c r="N573" s="118"/>
      <c r="O573" s="117"/>
      <c r="P573" s="38">
        <f t="shared" ref="P573:P582" si="340">P572+O573</f>
        <v>-1460</v>
      </c>
      <c r="Q573" s="106"/>
      <c r="R573" s="107"/>
      <c r="S573" s="26">
        <f t="shared" ref="S573:S582" si="341">S572+R573</f>
        <v>-1460</v>
      </c>
      <c r="T573" s="177"/>
      <c r="U573" s="136"/>
      <c r="V573" s="45">
        <f t="shared" ref="V573:V582" si="342">V572+U573</f>
        <v>-1460</v>
      </c>
      <c r="W573" s="143"/>
    </row>
    <row r="574" spans="1:23" ht="15.75" customHeight="1">
      <c r="A574" s="114"/>
      <c r="B574" s="118"/>
      <c r="C574" s="117"/>
      <c r="D574" s="19">
        <f t="shared" si="336"/>
        <v>-1460</v>
      </c>
      <c r="E574" s="106"/>
      <c r="F574" s="107"/>
      <c r="G574" s="26">
        <f t="shared" si="337"/>
        <v>-1460</v>
      </c>
      <c r="H574" s="117"/>
      <c r="I574" s="117"/>
      <c r="J574" s="19">
        <f t="shared" si="338"/>
        <v>-1460</v>
      </c>
      <c r="K574" s="106"/>
      <c r="L574" s="107"/>
      <c r="M574" s="26">
        <f t="shared" si="339"/>
        <v>-1460</v>
      </c>
      <c r="N574" s="117"/>
      <c r="O574" s="117"/>
      <c r="P574" s="38">
        <f t="shared" si="340"/>
        <v>-1460</v>
      </c>
      <c r="Q574" s="106"/>
      <c r="R574" s="107"/>
      <c r="S574" s="26">
        <f t="shared" si="341"/>
        <v>-1460</v>
      </c>
      <c r="T574" s="136"/>
      <c r="U574" s="136"/>
      <c r="V574" s="45">
        <f t="shared" si="342"/>
        <v>-1460</v>
      </c>
      <c r="W574" s="143"/>
    </row>
    <row r="575" spans="1:23" ht="15.75" customHeight="1">
      <c r="A575" s="114"/>
      <c r="B575" s="118"/>
      <c r="C575" s="117"/>
      <c r="D575" s="19">
        <f t="shared" si="336"/>
        <v>-1460</v>
      </c>
      <c r="E575" s="106"/>
      <c r="F575" s="107"/>
      <c r="G575" s="26">
        <f t="shared" si="337"/>
        <v>-1460</v>
      </c>
      <c r="H575" s="117"/>
      <c r="I575" s="117"/>
      <c r="J575" s="19">
        <f t="shared" si="338"/>
        <v>-1460</v>
      </c>
      <c r="K575" s="106"/>
      <c r="L575" s="107"/>
      <c r="M575" s="26">
        <f t="shared" si="339"/>
        <v>-1460</v>
      </c>
      <c r="N575" s="117"/>
      <c r="O575" s="117"/>
      <c r="P575" s="38">
        <f t="shared" si="340"/>
        <v>-1460</v>
      </c>
      <c r="Q575" s="106"/>
      <c r="R575" s="107"/>
      <c r="S575" s="26">
        <f t="shared" si="341"/>
        <v>-1460</v>
      </c>
      <c r="T575" s="136"/>
      <c r="U575" s="136"/>
      <c r="V575" s="45">
        <f t="shared" si="342"/>
        <v>-1460</v>
      </c>
      <c r="W575" s="143"/>
    </row>
    <row r="576" spans="1:23" ht="15.75" customHeight="1">
      <c r="A576" s="114"/>
      <c r="B576" s="118"/>
      <c r="C576" s="117"/>
      <c r="D576" s="19">
        <f t="shared" si="336"/>
        <v>-1460</v>
      </c>
      <c r="E576" s="106"/>
      <c r="F576" s="107"/>
      <c r="G576" s="26">
        <f t="shared" si="337"/>
        <v>-1460</v>
      </c>
      <c r="H576" s="117"/>
      <c r="I576" s="117"/>
      <c r="J576" s="19">
        <f t="shared" si="338"/>
        <v>-1460</v>
      </c>
      <c r="K576" s="106"/>
      <c r="L576" s="107"/>
      <c r="M576" s="26">
        <f t="shared" si="339"/>
        <v>-1460</v>
      </c>
      <c r="N576" s="117"/>
      <c r="O576" s="117"/>
      <c r="P576" s="38">
        <f t="shared" si="340"/>
        <v>-1460</v>
      </c>
      <c r="Q576" s="106"/>
      <c r="R576" s="107"/>
      <c r="S576" s="26">
        <f t="shared" si="341"/>
        <v>-1460</v>
      </c>
      <c r="T576" s="136"/>
      <c r="U576" s="136"/>
      <c r="V576" s="45">
        <f t="shared" si="342"/>
        <v>-1460</v>
      </c>
      <c r="W576" s="143"/>
    </row>
    <row r="577" spans="1:23" ht="15.75" customHeight="1">
      <c r="A577" s="114"/>
      <c r="B577" s="118"/>
      <c r="C577" s="117"/>
      <c r="D577" s="19">
        <f t="shared" si="336"/>
        <v>-1460</v>
      </c>
      <c r="E577" s="106"/>
      <c r="F577" s="107"/>
      <c r="G577" s="26">
        <f t="shared" si="337"/>
        <v>-1460</v>
      </c>
      <c r="H577" s="117"/>
      <c r="I577" s="117"/>
      <c r="J577" s="19">
        <f t="shared" si="338"/>
        <v>-1460</v>
      </c>
      <c r="K577" s="106"/>
      <c r="L577" s="107"/>
      <c r="M577" s="26">
        <f t="shared" si="339"/>
        <v>-1460</v>
      </c>
      <c r="N577" s="117"/>
      <c r="O577" s="117"/>
      <c r="P577" s="38">
        <f t="shared" si="340"/>
        <v>-1460</v>
      </c>
      <c r="Q577" s="106"/>
      <c r="R577" s="107"/>
      <c r="S577" s="26">
        <f t="shared" si="341"/>
        <v>-1460</v>
      </c>
      <c r="T577" s="136"/>
      <c r="U577" s="136"/>
      <c r="V577" s="45">
        <f t="shared" si="342"/>
        <v>-1460</v>
      </c>
      <c r="W577" s="143"/>
    </row>
    <row r="578" spans="1:23" ht="15.75" customHeight="1">
      <c r="A578" s="114"/>
      <c r="B578" s="117"/>
      <c r="C578" s="117"/>
      <c r="D578" s="19">
        <f t="shared" si="336"/>
        <v>-1460</v>
      </c>
      <c r="E578" s="106"/>
      <c r="F578" s="107"/>
      <c r="G578" s="26">
        <f t="shared" si="337"/>
        <v>-1460</v>
      </c>
      <c r="H578" s="117"/>
      <c r="I578" s="117"/>
      <c r="J578" s="19">
        <f t="shared" si="338"/>
        <v>-1460</v>
      </c>
      <c r="K578" s="106"/>
      <c r="L578" s="107"/>
      <c r="M578" s="26">
        <f t="shared" si="339"/>
        <v>-1460</v>
      </c>
      <c r="N578" s="117"/>
      <c r="O578" s="117"/>
      <c r="P578" s="38">
        <f t="shared" si="340"/>
        <v>-1460</v>
      </c>
      <c r="Q578" s="106"/>
      <c r="R578" s="107"/>
      <c r="S578" s="26">
        <f t="shared" si="341"/>
        <v>-1460</v>
      </c>
      <c r="T578" s="136"/>
      <c r="U578" s="136"/>
      <c r="V578" s="45">
        <f t="shared" si="342"/>
        <v>-1460</v>
      </c>
      <c r="W578" s="143"/>
    </row>
    <row r="579" spans="1:23" ht="15.75" customHeight="1">
      <c r="A579" s="114"/>
      <c r="B579" s="117"/>
      <c r="C579" s="117"/>
      <c r="D579" s="19">
        <f t="shared" si="336"/>
        <v>-1460</v>
      </c>
      <c r="E579" s="106"/>
      <c r="F579" s="107"/>
      <c r="G579" s="26">
        <f t="shared" si="337"/>
        <v>-1460</v>
      </c>
      <c r="H579" s="133"/>
      <c r="I579" s="117"/>
      <c r="J579" s="19">
        <f t="shared" si="338"/>
        <v>-1460</v>
      </c>
      <c r="K579" s="106"/>
      <c r="L579" s="107"/>
      <c r="M579" s="26">
        <f t="shared" si="339"/>
        <v>-1460</v>
      </c>
      <c r="N579" s="117"/>
      <c r="O579" s="117"/>
      <c r="P579" s="38">
        <f t="shared" si="340"/>
        <v>-1460</v>
      </c>
      <c r="Q579" s="106"/>
      <c r="R579" s="107"/>
      <c r="S579" s="26">
        <f t="shared" si="341"/>
        <v>-1460</v>
      </c>
      <c r="T579" s="136"/>
      <c r="U579" s="136"/>
      <c r="V579" s="45">
        <f t="shared" si="342"/>
        <v>-1460</v>
      </c>
      <c r="W579" s="143"/>
    </row>
    <row r="580" spans="1:23" ht="15.75" customHeight="1">
      <c r="A580" s="114"/>
      <c r="B580" s="117"/>
      <c r="C580" s="117"/>
      <c r="D580" s="19">
        <f t="shared" si="336"/>
        <v>-1460</v>
      </c>
      <c r="E580" s="106"/>
      <c r="F580" s="107"/>
      <c r="G580" s="26">
        <f t="shared" si="337"/>
        <v>-1460</v>
      </c>
      <c r="H580" s="133"/>
      <c r="I580" s="117"/>
      <c r="J580" s="19">
        <f t="shared" si="338"/>
        <v>-1460</v>
      </c>
      <c r="K580" s="106"/>
      <c r="L580" s="107"/>
      <c r="M580" s="26">
        <f t="shared" si="339"/>
        <v>-1460</v>
      </c>
      <c r="N580" s="117"/>
      <c r="O580" s="117"/>
      <c r="P580" s="38">
        <f t="shared" si="340"/>
        <v>-1460</v>
      </c>
      <c r="Q580" s="106"/>
      <c r="R580" s="107"/>
      <c r="S580" s="26">
        <f t="shared" si="341"/>
        <v>-1460</v>
      </c>
      <c r="T580" s="136"/>
      <c r="U580" s="136"/>
      <c r="V580" s="45">
        <f t="shared" si="342"/>
        <v>-1460</v>
      </c>
      <c r="W580" s="143"/>
    </row>
    <row r="581" spans="1:23" ht="15.75" customHeight="1">
      <c r="A581" s="114"/>
      <c r="B581" s="117"/>
      <c r="C581" s="117"/>
      <c r="D581" s="19">
        <f t="shared" si="336"/>
        <v>-1460</v>
      </c>
      <c r="E581" s="122"/>
      <c r="F581" s="123"/>
      <c r="G581" s="26">
        <f t="shared" si="337"/>
        <v>-1460</v>
      </c>
      <c r="H581" s="133"/>
      <c r="I581" s="117"/>
      <c r="J581" s="19">
        <f t="shared" si="338"/>
        <v>-1460</v>
      </c>
      <c r="K581" s="122"/>
      <c r="L581" s="123"/>
      <c r="M581" s="26">
        <f t="shared" si="339"/>
        <v>-1460</v>
      </c>
      <c r="N581" s="117"/>
      <c r="O581" s="117"/>
      <c r="P581" s="38">
        <f t="shared" si="340"/>
        <v>-1460</v>
      </c>
      <c r="Q581" s="122"/>
      <c r="R581" s="123"/>
      <c r="S581" s="26">
        <f t="shared" si="341"/>
        <v>-1460</v>
      </c>
      <c r="T581" s="136"/>
      <c r="U581" s="136"/>
      <c r="V581" s="45">
        <f t="shared" si="342"/>
        <v>-1460</v>
      </c>
      <c r="W581" s="143"/>
    </row>
    <row r="582" spans="1:23" ht="15.75" customHeight="1">
      <c r="A582" s="114"/>
      <c r="B582" s="128"/>
      <c r="C582" s="128"/>
      <c r="D582" s="29">
        <f t="shared" si="336"/>
        <v>-1460</v>
      </c>
      <c r="E582" s="122"/>
      <c r="F582" s="123"/>
      <c r="G582" s="53">
        <f t="shared" si="337"/>
        <v>-1460</v>
      </c>
      <c r="H582" s="140"/>
      <c r="I582" s="128"/>
      <c r="J582" s="29">
        <f t="shared" si="338"/>
        <v>-1460</v>
      </c>
      <c r="K582" s="122"/>
      <c r="L582" s="123"/>
      <c r="M582" s="39">
        <f t="shared" si="339"/>
        <v>-1460</v>
      </c>
      <c r="N582" s="128"/>
      <c r="O582" s="128"/>
      <c r="P582" s="40">
        <f t="shared" si="340"/>
        <v>-1460</v>
      </c>
      <c r="Q582" s="122"/>
      <c r="R582" s="123"/>
      <c r="S582" s="39">
        <f t="shared" si="341"/>
        <v>-1460</v>
      </c>
      <c r="T582" s="141"/>
      <c r="U582" s="141"/>
      <c r="V582" s="46">
        <f t="shared" si="342"/>
        <v>-1460</v>
      </c>
      <c r="W582" s="143"/>
    </row>
    <row r="583" spans="1:23" ht="15.75" customHeight="1">
      <c r="A583" s="87"/>
      <c r="B583" s="77" t="str">
        <f ca="1">IFERROR(__xludf.DUMMYFUNCTION("DATE(VALUE(LEFT($B$2,4)),VALUE(MID($B$2,6,2)),VALUE(RIGHT($B$2,2)))
+ (VALUE(REGEXEXTRACT(INDIRECT(""A""&amp;ROW()+1),""\d+""))-1)*7
+ INT((COLUMN()-COLUMN($B583))/3)
"),"#VALUE!")</f>
        <v>#VALUE!</v>
      </c>
      <c r="C583" s="81"/>
      <c r="D583" s="82"/>
      <c r="E583" s="77" t="str">
        <f ca="1">IFERROR(__xludf.DUMMYFUNCTION("DATE(VALUE(LEFT($B$2,4)),VALUE(MID($B$2,6,2)),VALUE(RIGHT($B$2,2)))
+ (VALUE(REGEXEXTRACT(INDIRECT(""A""&amp;ROW()+1),""\d+""))-1)*7
+ INT((COLUMN()-COLUMN($B583))/3)
"),"#VALUE!")</f>
        <v>#VALUE!</v>
      </c>
      <c r="F583" s="81"/>
      <c r="G583" s="82"/>
      <c r="H583" s="77" t="str">
        <f ca="1">IFERROR(__xludf.DUMMYFUNCTION("DATE(VALUE(LEFT($B$2,4)),VALUE(MID($B$2,6,2)),VALUE(RIGHT($B$2,2)))
+ (VALUE(REGEXEXTRACT(INDIRECT(""A""&amp;ROW()+1),""\d+""))-1)*7
+ INT((COLUMN()-COLUMN($B583))/3)
"),"#VALUE!")</f>
        <v>#VALUE!</v>
      </c>
      <c r="I583" s="81"/>
      <c r="J583" s="82"/>
      <c r="K583" s="77" t="str">
        <f ca="1">IFERROR(__xludf.DUMMYFUNCTION("DATE(VALUE(LEFT($B$2,4)),VALUE(MID($B$2,6,2)),VALUE(RIGHT($B$2,2)))
+ (VALUE(REGEXEXTRACT(INDIRECT(""A""&amp;ROW()+1),""\d+""))-1)*7
+ INT((COLUMN()-COLUMN($B583))/3)
"),"#VALUE!")</f>
        <v>#VALUE!</v>
      </c>
      <c r="L583" s="81"/>
      <c r="M583" s="82"/>
      <c r="N583" s="77" t="str">
        <f ca="1">IFERROR(__xludf.DUMMYFUNCTION("DATE(VALUE(LEFT($B$2,4)),VALUE(MID($B$2,6,2)),VALUE(RIGHT($B$2,2)))
+ (VALUE(REGEXEXTRACT(INDIRECT(""A""&amp;ROW()+1),""\d+""))-1)*7
+ INT((COLUMN()-COLUMN($B583))/3)
"),"#VALUE!")</f>
        <v>#VALUE!</v>
      </c>
      <c r="O583" s="81"/>
      <c r="P583" s="82"/>
      <c r="Q583" s="77" t="str">
        <f ca="1">IFERROR(__xludf.DUMMYFUNCTION("DATE(VALUE(LEFT($B$2,4)),VALUE(MID($B$2,6,2)),VALUE(RIGHT($B$2,2)))
+ (VALUE(REGEXEXTRACT(INDIRECT(""A""&amp;ROW()+1),""\d+""))-1)*7
+ INT((COLUMN()-COLUMN($B583))/3)
"),"#VALUE!")</f>
        <v>#VALUE!</v>
      </c>
      <c r="R583" s="81"/>
      <c r="S583" s="82"/>
      <c r="T583" s="77" t="str">
        <f ca="1">IFERROR(__xludf.DUMMYFUNCTION("DATE(VALUE(LEFT($B$2,4)),VALUE(MID($B$2,6,2)),VALUE(RIGHT($B$2,2)))
+ (VALUE(REGEXEXTRACT(INDIRECT(""A""&amp;ROW()+1),""\d+""))-1)*7
+ INT((COLUMN()-COLUMN($B583))/3)
"),"#VALUE!")</f>
        <v>#VALUE!</v>
      </c>
      <c r="U583" s="81"/>
      <c r="V583" s="82"/>
      <c r="W583" s="143"/>
    </row>
    <row r="584" spans="1:23" ht="15.75" customHeight="1">
      <c r="A584" s="51" t="s">
        <v>178</v>
      </c>
      <c r="B584" s="112"/>
      <c r="C584" s="111"/>
      <c r="D584" s="17">
        <f>V582+C584</f>
        <v>-1460</v>
      </c>
      <c r="E584" s="109"/>
      <c r="F584" s="109"/>
      <c r="G584" s="54">
        <f>D594+F584</f>
        <v>-1460</v>
      </c>
      <c r="H584" s="110"/>
      <c r="I584" s="111"/>
      <c r="J584" s="17">
        <f>G594+I584</f>
        <v>-1460</v>
      </c>
      <c r="K584" s="109"/>
      <c r="L584" s="109"/>
      <c r="M584" s="35">
        <f>J594+L584</f>
        <v>-1460</v>
      </c>
      <c r="N584" s="112"/>
      <c r="O584" s="111"/>
      <c r="P584" s="17">
        <f>M594+O584</f>
        <v>-1460</v>
      </c>
      <c r="Q584" s="109"/>
      <c r="R584" s="109"/>
      <c r="S584" s="35">
        <f>P594+R584</f>
        <v>-1460</v>
      </c>
      <c r="T584" s="112"/>
      <c r="U584" s="111"/>
      <c r="V584" s="48">
        <f>S594+U584</f>
        <v>-1460</v>
      </c>
      <c r="W584" s="143"/>
    </row>
    <row r="585" spans="1:23" ht="15.75" customHeight="1">
      <c r="A585" s="114"/>
      <c r="B585" s="106"/>
      <c r="C585" s="107"/>
      <c r="D585" s="26">
        <f t="shared" ref="D585:D594" si="343">D584+C585</f>
        <v>-1460</v>
      </c>
      <c r="E585" s="117"/>
      <c r="F585" s="117"/>
      <c r="G585" s="19">
        <f t="shared" ref="G585:G594" si="344">G584+F585</f>
        <v>-1460</v>
      </c>
      <c r="H585" s="116"/>
      <c r="I585" s="107"/>
      <c r="J585" s="26">
        <f t="shared" ref="J585:J594" si="345">J584+I585</f>
        <v>-1460</v>
      </c>
      <c r="K585" s="117"/>
      <c r="L585" s="117"/>
      <c r="M585" s="38">
        <f t="shared" ref="M585:M594" si="346">M584+L585</f>
        <v>-1460</v>
      </c>
      <c r="N585" s="106"/>
      <c r="O585" s="107"/>
      <c r="P585" s="26">
        <f t="shared" ref="P585:P594" si="347">P584+O585</f>
        <v>-1460</v>
      </c>
      <c r="Q585" s="117"/>
      <c r="R585" s="117"/>
      <c r="S585" s="38">
        <f t="shared" ref="S585:S594" si="348">S584+R585</f>
        <v>-1460</v>
      </c>
      <c r="T585" s="106"/>
      <c r="U585" s="116"/>
      <c r="V585" s="20">
        <f t="shared" ref="V585:V594" si="349">V584+U585</f>
        <v>-1460</v>
      </c>
      <c r="W585" s="143"/>
    </row>
    <row r="586" spans="1:23" ht="15.75" customHeight="1">
      <c r="A586" s="114"/>
      <c r="B586" s="106"/>
      <c r="C586" s="107"/>
      <c r="D586" s="26">
        <f t="shared" si="343"/>
        <v>-1460</v>
      </c>
      <c r="E586" s="117"/>
      <c r="F586" s="117"/>
      <c r="G586" s="19">
        <f t="shared" si="344"/>
        <v>-1460</v>
      </c>
      <c r="H586" s="116"/>
      <c r="I586" s="107"/>
      <c r="J586" s="26">
        <f t="shared" si="345"/>
        <v>-1460</v>
      </c>
      <c r="K586" s="117"/>
      <c r="L586" s="117"/>
      <c r="M586" s="38">
        <f t="shared" si="346"/>
        <v>-1460</v>
      </c>
      <c r="N586" s="106"/>
      <c r="O586" s="107"/>
      <c r="P586" s="26">
        <f t="shared" si="347"/>
        <v>-1460</v>
      </c>
      <c r="Q586" s="117"/>
      <c r="R586" s="117"/>
      <c r="S586" s="38">
        <f t="shared" si="348"/>
        <v>-1460</v>
      </c>
      <c r="T586" s="106"/>
      <c r="U586" s="107"/>
      <c r="V586" s="20">
        <f t="shared" si="349"/>
        <v>-1460</v>
      </c>
      <c r="W586" s="143"/>
    </row>
    <row r="587" spans="1:23" ht="15.75" customHeight="1">
      <c r="A587" s="114"/>
      <c r="B587" s="106"/>
      <c r="C587" s="107"/>
      <c r="D587" s="26">
        <f t="shared" si="343"/>
        <v>-1460</v>
      </c>
      <c r="E587" s="117"/>
      <c r="F587" s="117"/>
      <c r="G587" s="19">
        <f t="shared" si="344"/>
        <v>-1460</v>
      </c>
      <c r="H587" s="116"/>
      <c r="I587" s="107"/>
      <c r="J587" s="26">
        <f t="shared" si="345"/>
        <v>-1460</v>
      </c>
      <c r="K587" s="117"/>
      <c r="L587" s="117"/>
      <c r="M587" s="38">
        <f t="shared" si="346"/>
        <v>-1460</v>
      </c>
      <c r="N587" s="106"/>
      <c r="O587" s="107"/>
      <c r="P587" s="26">
        <f t="shared" si="347"/>
        <v>-1460</v>
      </c>
      <c r="Q587" s="117"/>
      <c r="R587" s="117"/>
      <c r="S587" s="38">
        <f t="shared" si="348"/>
        <v>-1460</v>
      </c>
      <c r="T587" s="106"/>
      <c r="U587" s="107"/>
      <c r="V587" s="20">
        <f t="shared" si="349"/>
        <v>-1460</v>
      </c>
      <c r="W587" s="143"/>
    </row>
    <row r="588" spans="1:23" ht="15.75" customHeight="1">
      <c r="A588" s="114"/>
      <c r="B588" s="106"/>
      <c r="C588" s="107"/>
      <c r="D588" s="26">
        <f t="shared" si="343"/>
        <v>-1460</v>
      </c>
      <c r="E588" s="117"/>
      <c r="F588" s="117"/>
      <c r="G588" s="19">
        <f t="shared" si="344"/>
        <v>-1460</v>
      </c>
      <c r="H588" s="116"/>
      <c r="I588" s="107"/>
      <c r="J588" s="26">
        <f t="shared" si="345"/>
        <v>-1460</v>
      </c>
      <c r="K588" s="117"/>
      <c r="L588" s="117"/>
      <c r="M588" s="38">
        <f t="shared" si="346"/>
        <v>-1460</v>
      </c>
      <c r="N588" s="106"/>
      <c r="O588" s="107"/>
      <c r="P588" s="26">
        <f t="shared" si="347"/>
        <v>-1460</v>
      </c>
      <c r="Q588" s="117"/>
      <c r="R588" s="117"/>
      <c r="S588" s="38">
        <f t="shared" si="348"/>
        <v>-1460</v>
      </c>
      <c r="T588" s="106"/>
      <c r="U588" s="116"/>
      <c r="V588" s="20">
        <f t="shared" si="349"/>
        <v>-1460</v>
      </c>
      <c r="W588" s="143"/>
    </row>
    <row r="589" spans="1:23" ht="15.75" customHeight="1">
      <c r="A589" s="114"/>
      <c r="B589" s="106"/>
      <c r="C589" s="107"/>
      <c r="D589" s="26">
        <f t="shared" si="343"/>
        <v>-1460</v>
      </c>
      <c r="E589" s="117"/>
      <c r="F589" s="117"/>
      <c r="G589" s="19">
        <f t="shared" si="344"/>
        <v>-1460</v>
      </c>
      <c r="H589" s="116"/>
      <c r="I589" s="107"/>
      <c r="J589" s="26">
        <f t="shared" si="345"/>
        <v>-1460</v>
      </c>
      <c r="K589" s="117"/>
      <c r="L589" s="117"/>
      <c r="M589" s="38">
        <f t="shared" si="346"/>
        <v>-1460</v>
      </c>
      <c r="N589" s="106"/>
      <c r="O589" s="107"/>
      <c r="P589" s="26">
        <f t="shared" si="347"/>
        <v>-1460</v>
      </c>
      <c r="Q589" s="117"/>
      <c r="R589" s="117"/>
      <c r="S589" s="38">
        <f t="shared" si="348"/>
        <v>-1460</v>
      </c>
      <c r="T589" s="106"/>
      <c r="U589" s="116"/>
      <c r="V589" s="20">
        <f t="shared" si="349"/>
        <v>-1460</v>
      </c>
      <c r="W589" s="143"/>
    </row>
    <row r="590" spans="1:23" ht="15.75" customHeight="1">
      <c r="A590" s="114"/>
      <c r="B590" s="106"/>
      <c r="C590" s="107"/>
      <c r="D590" s="26">
        <f t="shared" si="343"/>
        <v>-1460</v>
      </c>
      <c r="E590" s="117"/>
      <c r="F590" s="117"/>
      <c r="G590" s="19">
        <f t="shared" si="344"/>
        <v>-1460</v>
      </c>
      <c r="H590" s="116"/>
      <c r="I590" s="107"/>
      <c r="J590" s="26">
        <f t="shared" si="345"/>
        <v>-1460</v>
      </c>
      <c r="K590" s="117"/>
      <c r="L590" s="117"/>
      <c r="M590" s="38">
        <f t="shared" si="346"/>
        <v>-1460</v>
      </c>
      <c r="N590" s="106"/>
      <c r="O590" s="107"/>
      <c r="P590" s="26">
        <f t="shared" si="347"/>
        <v>-1460</v>
      </c>
      <c r="Q590" s="117"/>
      <c r="R590" s="117"/>
      <c r="S590" s="38">
        <f t="shared" si="348"/>
        <v>-1460</v>
      </c>
      <c r="T590" s="106"/>
      <c r="U590" s="116"/>
      <c r="V590" s="20">
        <f t="shared" si="349"/>
        <v>-1460</v>
      </c>
      <c r="W590" s="143"/>
    </row>
    <row r="591" spans="1:23" ht="15.75" customHeight="1">
      <c r="A591" s="114"/>
      <c r="B591" s="106"/>
      <c r="C591" s="107"/>
      <c r="D591" s="26">
        <f t="shared" si="343"/>
        <v>-1460</v>
      </c>
      <c r="E591" s="117"/>
      <c r="F591" s="117"/>
      <c r="G591" s="19">
        <f t="shared" si="344"/>
        <v>-1460</v>
      </c>
      <c r="H591" s="116"/>
      <c r="I591" s="107"/>
      <c r="J591" s="26">
        <f t="shared" si="345"/>
        <v>-1460</v>
      </c>
      <c r="K591" s="117"/>
      <c r="L591" s="117"/>
      <c r="M591" s="38">
        <f t="shared" si="346"/>
        <v>-1460</v>
      </c>
      <c r="N591" s="106"/>
      <c r="O591" s="107"/>
      <c r="P591" s="26">
        <f t="shared" si="347"/>
        <v>-1460</v>
      </c>
      <c r="Q591" s="117"/>
      <c r="R591" s="117"/>
      <c r="S591" s="38">
        <f t="shared" si="348"/>
        <v>-1460</v>
      </c>
      <c r="T591" s="106"/>
      <c r="U591" s="116"/>
      <c r="V591" s="20">
        <f t="shared" si="349"/>
        <v>-1460</v>
      </c>
      <c r="W591" s="143"/>
    </row>
    <row r="592" spans="1:23" ht="15.75" customHeight="1">
      <c r="A592" s="114"/>
      <c r="B592" s="122"/>
      <c r="C592" s="123"/>
      <c r="D592" s="26">
        <f t="shared" si="343"/>
        <v>-1460</v>
      </c>
      <c r="E592" s="117"/>
      <c r="F592" s="117"/>
      <c r="G592" s="19">
        <f t="shared" si="344"/>
        <v>-1460</v>
      </c>
      <c r="H592" s="124"/>
      <c r="I592" s="123"/>
      <c r="J592" s="26">
        <f t="shared" si="345"/>
        <v>-1460</v>
      </c>
      <c r="K592" s="117"/>
      <c r="L592" s="117"/>
      <c r="M592" s="38">
        <f t="shared" si="346"/>
        <v>-1460</v>
      </c>
      <c r="N592" s="122"/>
      <c r="O592" s="123"/>
      <c r="P592" s="26">
        <f t="shared" si="347"/>
        <v>-1460</v>
      </c>
      <c r="Q592" s="117"/>
      <c r="R592" s="117"/>
      <c r="S592" s="38">
        <f t="shared" si="348"/>
        <v>-1460</v>
      </c>
      <c r="T592" s="106"/>
      <c r="U592" s="116"/>
      <c r="V592" s="20">
        <f t="shared" si="349"/>
        <v>-1460</v>
      </c>
      <c r="W592" s="143"/>
    </row>
    <row r="593" spans="1:23" ht="15.75" customHeight="1">
      <c r="A593" s="114"/>
      <c r="B593" s="122"/>
      <c r="C593" s="123"/>
      <c r="D593" s="26">
        <f t="shared" si="343"/>
        <v>-1460</v>
      </c>
      <c r="E593" s="117"/>
      <c r="F593" s="117"/>
      <c r="G593" s="19">
        <f t="shared" si="344"/>
        <v>-1460</v>
      </c>
      <c r="H593" s="124"/>
      <c r="I593" s="123"/>
      <c r="J593" s="26">
        <f t="shared" si="345"/>
        <v>-1460</v>
      </c>
      <c r="K593" s="117"/>
      <c r="L593" s="117"/>
      <c r="M593" s="38">
        <f t="shared" si="346"/>
        <v>-1460</v>
      </c>
      <c r="N593" s="122"/>
      <c r="O593" s="123"/>
      <c r="P593" s="26">
        <f t="shared" si="347"/>
        <v>-1460</v>
      </c>
      <c r="Q593" s="117"/>
      <c r="R593" s="117"/>
      <c r="S593" s="38">
        <f t="shared" si="348"/>
        <v>-1460</v>
      </c>
      <c r="T593" s="122"/>
      <c r="U593" s="124"/>
      <c r="V593" s="20">
        <f t="shared" si="349"/>
        <v>-1460</v>
      </c>
      <c r="W593" s="143"/>
    </row>
    <row r="594" spans="1:23" ht="15.75" customHeight="1">
      <c r="A594" s="114"/>
      <c r="B594" s="122"/>
      <c r="C594" s="123"/>
      <c r="D594" s="39">
        <f t="shared" si="343"/>
        <v>-1460</v>
      </c>
      <c r="E594" s="128"/>
      <c r="F594" s="128"/>
      <c r="G594" s="55">
        <f t="shared" si="344"/>
        <v>-1460</v>
      </c>
      <c r="H594" s="124"/>
      <c r="I594" s="123"/>
      <c r="J594" s="39">
        <f t="shared" si="345"/>
        <v>-1460</v>
      </c>
      <c r="K594" s="128"/>
      <c r="L594" s="128"/>
      <c r="M594" s="40">
        <f t="shared" si="346"/>
        <v>-1460</v>
      </c>
      <c r="N594" s="122"/>
      <c r="O594" s="123"/>
      <c r="P594" s="39">
        <f t="shared" si="347"/>
        <v>-1460</v>
      </c>
      <c r="Q594" s="128"/>
      <c r="R594" s="128"/>
      <c r="S594" s="40">
        <f t="shared" si="348"/>
        <v>-1460</v>
      </c>
      <c r="T594" s="122"/>
      <c r="U594" s="123"/>
      <c r="V594" s="49">
        <f t="shared" si="349"/>
        <v>-1460</v>
      </c>
      <c r="W594" s="143"/>
    </row>
    <row r="595" spans="1:23" ht="15.75" customHeight="1">
      <c r="A595" s="87"/>
      <c r="B595" s="77" t="str">
        <f ca="1">IFERROR(__xludf.DUMMYFUNCTION("DATE(VALUE(LEFT($B$2,4)),VALUE(MID($B$2,6,2)),VALUE(RIGHT($B$2,2)))
+ (VALUE(REGEXEXTRACT(INDIRECT(""A""&amp;ROW()+1),""\d+""))-1)*7
+ INT((COLUMN()-COLUMN($B595))/3)
"),"#VALUE!")</f>
        <v>#VALUE!</v>
      </c>
      <c r="C595" s="81"/>
      <c r="D595" s="82"/>
      <c r="E595" s="77" t="str">
        <f ca="1">IFERROR(__xludf.DUMMYFUNCTION("DATE(VALUE(LEFT($B$2,4)),VALUE(MID($B$2,6,2)),VALUE(RIGHT($B$2,2)))
+ (VALUE(REGEXEXTRACT(INDIRECT(""A""&amp;ROW()+1),""\d+""))-1)*7
+ INT((COLUMN()-COLUMN($B595))/3)
"),"#VALUE!")</f>
        <v>#VALUE!</v>
      </c>
      <c r="F595" s="81"/>
      <c r="G595" s="82"/>
      <c r="H595" s="77" t="str">
        <f ca="1">IFERROR(__xludf.DUMMYFUNCTION("DATE(VALUE(LEFT($B$2,4)),VALUE(MID($B$2,6,2)),VALUE(RIGHT($B$2,2)))
+ (VALUE(REGEXEXTRACT(INDIRECT(""A""&amp;ROW()+1),""\d+""))-1)*7
+ INT((COLUMN()-COLUMN($B595))/3)
"),"#VALUE!")</f>
        <v>#VALUE!</v>
      </c>
      <c r="I595" s="81"/>
      <c r="J595" s="82"/>
      <c r="K595" s="77" t="str">
        <f ca="1">IFERROR(__xludf.DUMMYFUNCTION("DATE(VALUE(LEFT($B$2,4)),VALUE(MID($B$2,6,2)),VALUE(RIGHT($B$2,2)))
+ (VALUE(REGEXEXTRACT(INDIRECT(""A""&amp;ROW()+1),""\d+""))-1)*7
+ INT((COLUMN()-COLUMN($B595))/3)
"),"#VALUE!")</f>
        <v>#VALUE!</v>
      </c>
      <c r="L595" s="81"/>
      <c r="M595" s="82"/>
      <c r="N595" s="77" t="str">
        <f ca="1">IFERROR(__xludf.DUMMYFUNCTION("DATE(VALUE(LEFT($B$2,4)),VALUE(MID($B$2,6,2)),VALUE(RIGHT($B$2,2)))
+ (VALUE(REGEXEXTRACT(INDIRECT(""A""&amp;ROW()+1),""\d+""))-1)*7
+ INT((COLUMN()-COLUMN($B595))/3)
"),"#VALUE!")</f>
        <v>#VALUE!</v>
      </c>
      <c r="O595" s="81"/>
      <c r="P595" s="82"/>
      <c r="Q595" s="77" t="str">
        <f ca="1">IFERROR(__xludf.DUMMYFUNCTION("DATE(VALUE(LEFT($B$2,4)),VALUE(MID($B$2,6,2)),VALUE(RIGHT($B$2,2)))
+ (VALUE(REGEXEXTRACT(INDIRECT(""A""&amp;ROW()+1),""\d+""))-1)*7
+ INT((COLUMN()-COLUMN($B595))/3)
"),"#VALUE!")</f>
        <v>#VALUE!</v>
      </c>
      <c r="R595" s="81"/>
      <c r="S595" s="82"/>
      <c r="T595" s="77" t="str">
        <f ca="1">IFERROR(__xludf.DUMMYFUNCTION("DATE(VALUE(LEFT($B$2,4)),VALUE(MID($B$2,6,2)),VALUE(RIGHT($B$2,2)))
+ (VALUE(REGEXEXTRACT(INDIRECT(""A""&amp;ROW()+1),""\d+""))-1)*7
+ INT((COLUMN()-COLUMN($B595))/3)
"),"#VALUE!")</f>
        <v>#VALUE!</v>
      </c>
      <c r="U595" s="81"/>
      <c r="V595" s="82"/>
      <c r="W595" s="52" t="s">
        <v>20</v>
      </c>
    </row>
    <row r="596" spans="1:23" ht="15.75" customHeight="1">
      <c r="A596" s="47" t="s">
        <v>179</v>
      </c>
      <c r="B596" s="109"/>
      <c r="C596" s="109"/>
      <c r="D596" s="42">
        <f>V594+C596</f>
        <v>-1460</v>
      </c>
      <c r="E596" s="112"/>
      <c r="F596" s="111"/>
      <c r="G596" s="36">
        <f>D606+F596</f>
        <v>-1460</v>
      </c>
      <c r="H596" s="132"/>
      <c r="I596" s="109"/>
      <c r="J596" s="42">
        <f>G606+I596</f>
        <v>-1460</v>
      </c>
      <c r="K596" s="112"/>
      <c r="L596" s="111"/>
      <c r="M596" s="18">
        <f>J606+L596</f>
        <v>-1460</v>
      </c>
      <c r="N596" s="113"/>
      <c r="O596" s="109"/>
      <c r="P596" s="35">
        <f>M606+O596</f>
        <v>-1460</v>
      </c>
      <c r="Q596" s="112"/>
      <c r="R596" s="111"/>
      <c r="S596" s="36">
        <f>P606+R596</f>
        <v>-1460</v>
      </c>
      <c r="T596" s="176"/>
      <c r="U596" s="173"/>
      <c r="V596" s="50">
        <f>S606+U596</f>
        <v>-1460</v>
      </c>
      <c r="W596" s="172"/>
    </row>
    <row r="597" spans="1:23" ht="15.75" customHeight="1">
      <c r="A597" s="114"/>
      <c r="B597" s="117"/>
      <c r="C597" s="117"/>
      <c r="D597" s="19">
        <f t="shared" ref="D597:D606" si="350">D596+C597</f>
        <v>-1460</v>
      </c>
      <c r="E597" s="106"/>
      <c r="F597" s="107"/>
      <c r="G597" s="26">
        <f t="shared" ref="G597:G606" si="351">G596+F597</f>
        <v>-1460</v>
      </c>
      <c r="H597" s="133"/>
      <c r="I597" s="117"/>
      <c r="J597" s="19">
        <f t="shared" ref="J597:J606" si="352">J596+I597</f>
        <v>-1460</v>
      </c>
      <c r="K597" s="106"/>
      <c r="L597" s="107"/>
      <c r="M597" s="26">
        <f t="shared" ref="M597:M606" si="353">M596+L597</f>
        <v>-1460</v>
      </c>
      <c r="N597" s="118"/>
      <c r="O597" s="117"/>
      <c r="P597" s="38">
        <f t="shared" ref="P597:P606" si="354">P596+O597</f>
        <v>-1460</v>
      </c>
      <c r="Q597" s="106"/>
      <c r="R597" s="107"/>
      <c r="S597" s="26">
        <f t="shared" ref="S597:S606" si="355">S596+R597</f>
        <v>-1460</v>
      </c>
      <c r="T597" s="177"/>
      <c r="U597" s="136"/>
      <c r="V597" s="45">
        <f t="shared" ref="V597:V606" si="356">V596+U597</f>
        <v>-1460</v>
      </c>
      <c r="W597" s="143"/>
    </row>
    <row r="598" spans="1:23" ht="15.75" customHeight="1">
      <c r="A598" s="114"/>
      <c r="B598" s="118"/>
      <c r="C598" s="117"/>
      <c r="D598" s="19">
        <f t="shared" si="350"/>
        <v>-1460</v>
      </c>
      <c r="E598" s="106"/>
      <c r="F598" s="107"/>
      <c r="G598" s="26">
        <f t="shared" si="351"/>
        <v>-1460</v>
      </c>
      <c r="H598" s="133"/>
      <c r="I598" s="117"/>
      <c r="J598" s="19">
        <f t="shared" si="352"/>
        <v>-1460</v>
      </c>
      <c r="K598" s="106"/>
      <c r="L598" s="107"/>
      <c r="M598" s="26">
        <f t="shared" si="353"/>
        <v>-1460</v>
      </c>
      <c r="N598" s="117"/>
      <c r="O598" s="117"/>
      <c r="P598" s="38">
        <f t="shared" si="354"/>
        <v>-1460</v>
      </c>
      <c r="Q598" s="106"/>
      <c r="R598" s="107"/>
      <c r="S598" s="26">
        <f t="shared" si="355"/>
        <v>-1460</v>
      </c>
      <c r="T598" s="136"/>
      <c r="U598" s="136"/>
      <c r="V598" s="45">
        <f t="shared" si="356"/>
        <v>-1460</v>
      </c>
      <c r="W598" s="143"/>
    </row>
    <row r="599" spans="1:23" ht="15.75" customHeight="1">
      <c r="A599" s="114"/>
      <c r="B599" s="118"/>
      <c r="C599" s="117"/>
      <c r="D599" s="19">
        <f t="shared" si="350"/>
        <v>-1460</v>
      </c>
      <c r="E599" s="106"/>
      <c r="F599" s="107"/>
      <c r="G599" s="26">
        <f t="shared" si="351"/>
        <v>-1460</v>
      </c>
      <c r="H599" s="133"/>
      <c r="I599" s="117"/>
      <c r="J599" s="19">
        <f t="shared" si="352"/>
        <v>-1460</v>
      </c>
      <c r="K599" s="106"/>
      <c r="L599" s="107"/>
      <c r="M599" s="26">
        <f t="shared" si="353"/>
        <v>-1460</v>
      </c>
      <c r="N599" s="117"/>
      <c r="O599" s="117"/>
      <c r="P599" s="38">
        <f t="shared" si="354"/>
        <v>-1460</v>
      </c>
      <c r="Q599" s="106"/>
      <c r="R599" s="107"/>
      <c r="S599" s="26">
        <f t="shared" si="355"/>
        <v>-1460</v>
      </c>
      <c r="T599" s="136"/>
      <c r="U599" s="136"/>
      <c r="V599" s="45">
        <f t="shared" si="356"/>
        <v>-1460</v>
      </c>
      <c r="W599" s="143"/>
    </row>
    <row r="600" spans="1:23" ht="15.75" customHeight="1">
      <c r="A600" s="114"/>
      <c r="B600" s="118"/>
      <c r="C600" s="117"/>
      <c r="D600" s="19">
        <f t="shared" si="350"/>
        <v>-1460</v>
      </c>
      <c r="E600" s="106"/>
      <c r="F600" s="107"/>
      <c r="G600" s="26">
        <f t="shared" si="351"/>
        <v>-1460</v>
      </c>
      <c r="H600" s="133"/>
      <c r="I600" s="117"/>
      <c r="J600" s="19">
        <f t="shared" si="352"/>
        <v>-1460</v>
      </c>
      <c r="K600" s="106"/>
      <c r="L600" s="107"/>
      <c r="M600" s="26">
        <f t="shared" si="353"/>
        <v>-1460</v>
      </c>
      <c r="N600" s="117"/>
      <c r="O600" s="117"/>
      <c r="P600" s="38">
        <f t="shared" si="354"/>
        <v>-1460</v>
      </c>
      <c r="Q600" s="106"/>
      <c r="R600" s="107"/>
      <c r="S600" s="26">
        <f t="shared" si="355"/>
        <v>-1460</v>
      </c>
      <c r="T600" s="136"/>
      <c r="U600" s="136"/>
      <c r="V600" s="45">
        <f t="shared" si="356"/>
        <v>-1460</v>
      </c>
      <c r="W600" s="143"/>
    </row>
    <row r="601" spans="1:23" ht="15.75" customHeight="1">
      <c r="A601" s="114"/>
      <c r="B601" s="118"/>
      <c r="C601" s="117"/>
      <c r="D601" s="19">
        <f t="shared" si="350"/>
        <v>-1460</v>
      </c>
      <c r="E601" s="106"/>
      <c r="F601" s="107"/>
      <c r="G601" s="26">
        <f t="shared" si="351"/>
        <v>-1460</v>
      </c>
      <c r="H601" s="133"/>
      <c r="I601" s="117"/>
      <c r="J601" s="19">
        <f t="shared" si="352"/>
        <v>-1460</v>
      </c>
      <c r="K601" s="106"/>
      <c r="L601" s="107"/>
      <c r="M601" s="26">
        <f t="shared" si="353"/>
        <v>-1460</v>
      </c>
      <c r="N601" s="117"/>
      <c r="O601" s="117"/>
      <c r="P601" s="38">
        <f t="shared" si="354"/>
        <v>-1460</v>
      </c>
      <c r="Q601" s="106"/>
      <c r="R601" s="107"/>
      <c r="S601" s="26">
        <f t="shared" si="355"/>
        <v>-1460</v>
      </c>
      <c r="T601" s="136"/>
      <c r="U601" s="136"/>
      <c r="V601" s="45">
        <f t="shared" si="356"/>
        <v>-1460</v>
      </c>
      <c r="W601" s="143"/>
    </row>
    <row r="602" spans="1:23" ht="15.75" customHeight="1">
      <c r="A602" s="114"/>
      <c r="B602" s="118"/>
      <c r="C602" s="117"/>
      <c r="D602" s="19">
        <f t="shared" si="350"/>
        <v>-1460</v>
      </c>
      <c r="E602" s="106"/>
      <c r="F602" s="107"/>
      <c r="G602" s="26">
        <f t="shared" si="351"/>
        <v>-1460</v>
      </c>
      <c r="H602" s="133"/>
      <c r="I602" s="117"/>
      <c r="J602" s="19">
        <f t="shared" si="352"/>
        <v>-1460</v>
      </c>
      <c r="K602" s="106"/>
      <c r="L602" s="107"/>
      <c r="M602" s="26">
        <f t="shared" si="353"/>
        <v>-1460</v>
      </c>
      <c r="N602" s="117"/>
      <c r="O602" s="117"/>
      <c r="P602" s="38">
        <f t="shared" si="354"/>
        <v>-1460</v>
      </c>
      <c r="Q602" s="106"/>
      <c r="R602" s="107"/>
      <c r="S602" s="26">
        <f t="shared" si="355"/>
        <v>-1460</v>
      </c>
      <c r="T602" s="136"/>
      <c r="U602" s="136"/>
      <c r="V602" s="45">
        <f t="shared" si="356"/>
        <v>-1460</v>
      </c>
      <c r="W602" s="143"/>
    </row>
    <row r="603" spans="1:23" ht="15.75" customHeight="1">
      <c r="A603" s="114"/>
      <c r="B603" s="118"/>
      <c r="C603" s="117"/>
      <c r="D603" s="19">
        <f t="shared" si="350"/>
        <v>-1460</v>
      </c>
      <c r="E603" s="106"/>
      <c r="F603" s="107"/>
      <c r="G603" s="26">
        <f t="shared" si="351"/>
        <v>-1460</v>
      </c>
      <c r="H603" s="133"/>
      <c r="I603" s="117"/>
      <c r="J603" s="19">
        <f t="shared" si="352"/>
        <v>-1460</v>
      </c>
      <c r="K603" s="106"/>
      <c r="L603" s="107"/>
      <c r="M603" s="26">
        <f t="shared" si="353"/>
        <v>-1460</v>
      </c>
      <c r="N603" s="117"/>
      <c r="O603" s="117"/>
      <c r="P603" s="38">
        <f t="shared" si="354"/>
        <v>-1460</v>
      </c>
      <c r="Q603" s="106"/>
      <c r="R603" s="107"/>
      <c r="S603" s="26">
        <f t="shared" si="355"/>
        <v>-1460</v>
      </c>
      <c r="T603" s="136"/>
      <c r="U603" s="136"/>
      <c r="V603" s="45">
        <f t="shared" si="356"/>
        <v>-1460</v>
      </c>
      <c r="W603" s="143"/>
    </row>
    <row r="604" spans="1:23" ht="15.75" customHeight="1">
      <c r="A604" s="114"/>
      <c r="B604" s="117"/>
      <c r="C604" s="117"/>
      <c r="D604" s="19">
        <f t="shared" si="350"/>
        <v>-1460</v>
      </c>
      <c r="E604" s="106"/>
      <c r="F604" s="107"/>
      <c r="G604" s="26">
        <f t="shared" si="351"/>
        <v>-1460</v>
      </c>
      <c r="H604" s="133"/>
      <c r="I604" s="117"/>
      <c r="J604" s="19">
        <f t="shared" si="352"/>
        <v>-1460</v>
      </c>
      <c r="K604" s="106"/>
      <c r="L604" s="107"/>
      <c r="M604" s="26">
        <f t="shared" si="353"/>
        <v>-1460</v>
      </c>
      <c r="N604" s="117"/>
      <c r="O604" s="117"/>
      <c r="P604" s="38">
        <f t="shared" si="354"/>
        <v>-1460</v>
      </c>
      <c r="Q604" s="106"/>
      <c r="R604" s="107"/>
      <c r="S604" s="26">
        <f t="shared" si="355"/>
        <v>-1460</v>
      </c>
      <c r="T604" s="136"/>
      <c r="U604" s="136"/>
      <c r="V604" s="45">
        <f t="shared" si="356"/>
        <v>-1460</v>
      </c>
      <c r="W604" s="143"/>
    </row>
    <row r="605" spans="1:23" ht="15.75" customHeight="1">
      <c r="A605" s="114"/>
      <c r="B605" s="117"/>
      <c r="C605" s="117"/>
      <c r="D605" s="19">
        <f t="shared" si="350"/>
        <v>-1460</v>
      </c>
      <c r="E605" s="122"/>
      <c r="F605" s="123"/>
      <c r="G605" s="26">
        <f t="shared" si="351"/>
        <v>-1460</v>
      </c>
      <c r="H605" s="133"/>
      <c r="I605" s="117"/>
      <c r="J605" s="19">
        <f t="shared" si="352"/>
        <v>-1460</v>
      </c>
      <c r="K605" s="122"/>
      <c r="L605" s="123"/>
      <c r="M605" s="26">
        <f t="shared" si="353"/>
        <v>-1460</v>
      </c>
      <c r="N605" s="117"/>
      <c r="O605" s="117"/>
      <c r="P605" s="38">
        <f t="shared" si="354"/>
        <v>-1460</v>
      </c>
      <c r="Q605" s="122"/>
      <c r="R605" s="123"/>
      <c r="S605" s="26">
        <f t="shared" si="355"/>
        <v>-1460</v>
      </c>
      <c r="T605" s="136"/>
      <c r="U605" s="136"/>
      <c r="V605" s="45">
        <f t="shared" si="356"/>
        <v>-1460</v>
      </c>
      <c r="W605" s="143"/>
    </row>
    <row r="606" spans="1:23" ht="15.75" customHeight="1">
      <c r="A606" s="114"/>
      <c r="B606" s="128"/>
      <c r="C606" s="128"/>
      <c r="D606" s="29">
        <f t="shared" si="350"/>
        <v>-1460</v>
      </c>
      <c r="E606" s="122"/>
      <c r="F606" s="123"/>
      <c r="G606" s="53">
        <f t="shared" si="351"/>
        <v>-1460</v>
      </c>
      <c r="H606" s="140"/>
      <c r="I606" s="128"/>
      <c r="J606" s="29">
        <f t="shared" si="352"/>
        <v>-1460</v>
      </c>
      <c r="K606" s="122"/>
      <c r="L606" s="123"/>
      <c r="M606" s="39">
        <f t="shared" si="353"/>
        <v>-1460</v>
      </c>
      <c r="N606" s="128"/>
      <c r="O606" s="128"/>
      <c r="P606" s="40">
        <f t="shared" si="354"/>
        <v>-1460</v>
      </c>
      <c r="Q606" s="122"/>
      <c r="R606" s="123"/>
      <c r="S606" s="39">
        <f t="shared" si="355"/>
        <v>-1460</v>
      </c>
      <c r="T606" s="141"/>
      <c r="U606" s="141"/>
      <c r="V606" s="46">
        <f t="shared" si="356"/>
        <v>-1460</v>
      </c>
      <c r="W606" s="143"/>
    </row>
    <row r="607" spans="1:23" ht="15.75" customHeight="1">
      <c r="A607" s="87"/>
      <c r="B607" s="77" t="str">
        <f ca="1">IFERROR(__xludf.DUMMYFUNCTION("DATE(VALUE(LEFT($B$2,4)),VALUE(MID($B$2,6,2)),VALUE(RIGHT($B$2,2)))
+ (VALUE(REGEXEXTRACT(INDIRECT(""A""&amp;ROW()+1),""\d+""))-1)*7
+ INT((COLUMN()-COLUMN($B607))/3)
"),"#VALUE!")</f>
        <v>#VALUE!</v>
      </c>
      <c r="C607" s="81"/>
      <c r="D607" s="82"/>
      <c r="E607" s="77" t="str">
        <f ca="1">IFERROR(__xludf.DUMMYFUNCTION("DATE(VALUE(LEFT($B$2,4)),VALUE(MID($B$2,6,2)),VALUE(RIGHT($B$2,2)))
+ (VALUE(REGEXEXTRACT(INDIRECT(""A""&amp;ROW()+1),""\d+""))-1)*7
+ INT((COLUMN()-COLUMN($B607))/3)
"),"#VALUE!")</f>
        <v>#VALUE!</v>
      </c>
      <c r="F607" s="81"/>
      <c r="G607" s="82"/>
      <c r="H607" s="77" t="str">
        <f ca="1">IFERROR(__xludf.DUMMYFUNCTION("DATE(VALUE(LEFT($B$2,4)),VALUE(MID($B$2,6,2)),VALUE(RIGHT($B$2,2)))
+ (VALUE(REGEXEXTRACT(INDIRECT(""A""&amp;ROW()+1),""\d+""))-1)*7
+ INT((COLUMN()-COLUMN($B607))/3)
"),"#VALUE!")</f>
        <v>#VALUE!</v>
      </c>
      <c r="I607" s="81"/>
      <c r="J607" s="82"/>
      <c r="K607" s="77" t="str">
        <f ca="1">IFERROR(__xludf.DUMMYFUNCTION("DATE(VALUE(LEFT($B$2,4)),VALUE(MID($B$2,6,2)),VALUE(RIGHT($B$2,2)))
+ (VALUE(REGEXEXTRACT(INDIRECT(""A""&amp;ROW()+1),""\d+""))-1)*7
+ INT((COLUMN()-COLUMN($B607))/3)
"),"#VALUE!")</f>
        <v>#VALUE!</v>
      </c>
      <c r="L607" s="81"/>
      <c r="M607" s="82"/>
      <c r="N607" s="77" t="str">
        <f ca="1">IFERROR(__xludf.DUMMYFUNCTION("DATE(VALUE(LEFT($B$2,4)),VALUE(MID($B$2,6,2)),VALUE(RIGHT($B$2,2)))
+ (VALUE(REGEXEXTRACT(INDIRECT(""A""&amp;ROW()+1),""\d+""))-1)*7
+ INT((COLUMN()-COLUMN($B607))/3)
"),"#VALUE!")</f>
        <v>#VALUE!</v>
      </c>
      <c r="O607" s="81"/>
      <c r="P607" s="82"/>
      <c r="Q607" s="77" t="str">
        <f ca="1">IFERROR(__xludf.DUMMYFUNCTION("DATE(VALUE(LEFT($B$2,4)),VALUE(MID($B$2,6,2)),VALUE(RIGHT($B$2,2)))
+ (VALUE(REGEXEXTRACT(INDIRECT(""A""&amp;ROW()+1),""\d+""))-1)*7
+ INT((COLUMN()-COLUMN($B607))/3)
"),"#VALUE!")</f>
        <v>#VALUE!</v>
      </c>
      <c r="R607" s="81"/>
      <c r="S607" s="82"/>
      <c r="T607" s="77" t="str">
        <f ca="1">IFERROR(__xludf.DUMMYFUNCTION("DATE(VALUE(LEFT($B$2,4)),VALUE(MID($B$2,6,2)),VALUE(RIGHT($B$2,2)))
+ (VALUE(REGEXEXTRACT(INDIRECT(""A""&amp;ROW()+1),""\d+""))-1)*7
+ INT((COLUMN()-COLUMN($B607))/3)
"),"#VALUE!")</f>
        <v>#VALUE!</v>
      </c>
      <c r="U607" s="81"/>
      <c r="V607" s="82"/>
      <c r="W607" s="143"/>
    </row>
    <row r="608" spans="1:23" ht="15.75" customHeight="1">
      <c r="A608" s="51" t="s">
        <v>180</v>
      </c>
      <c r="B608" s="112"/>
      <c r="C608" s="111"/>
      <c r="D608" s="17">
        <f>V606+C608</f>
        <v>-1460</v>
      </c>
      <c r="E608" s="109"/>
      <c r="F608" s="109"/>
      <c r="G608" s="54">
        <f>D618+F608</f>
        <v>-1460</v>
      </c>
      <c r="H608" s="110"/>
      <c r="I608" s="111"/>
      <c r="J608" s="17">
        <f>G618+I608</f>
        <v>-1460</v>
      </c>
      <c r="K608" s="109"/>
      <c r="L608" s="109"/>
      <c r="M608" s="35">
        <f>J618+L608</f>
        <v>-1460</v>
      </c>
      <c r="N608" s="112"/>
      <c r="O608" s="111"/>
      <c r="P608" s="17">
        <f>M618+O608</f>
        <v>-1460</v>
      </c>
      <c r="Q608" s="109"/>
      <c r="R608" s="109"/>
      <c r="S608" s="35">
        <f>P618+R608</f>
        <v>-1460</v>
      </c>
      <c r="T608" s="112"/>
      <c r="U608" s="111"/>
      <c r="V608" s="48">
        <f>S618+U608</f>
        <v>-1460</v>
      </c>
      <c r="W608" s="143"/>
    </row>
    <row r="609" spans="1:23" ht="15.75" customHeight="1">
      <c r="A609" s="114"/>
      <c r="B609" s="106"/>
      <c r="C609" s="107"/>
      <c r="D609" s="26">
        <f t="shared" ref="D609:D618" si="357">D608+C609</f>
        <v>-1460</v>
      </c>
      <c r="E609" s="117"/>
      <c r="F609" s="117"/>
      <c r="G609" s="19">
        <f t="shared" ref="G609:G618" si="358">G608+F609</f>
        <v>-1460</v>
      </c>
      <c r="H609" s="116"/>
      <c r="I609" s="107"/>
      <c r="J609" s="26">
        <f t="shared" ref="J609:J618" si="359">J608+I609</f>
        <v>-1460</v>
      </c>
      <c r="K609" s="117"/>
      <c r="L609" s="117"/>
      <c r="M609" s="38">
        <f t="shared" ref="M609:M618" si="360">M608+L609</f>
        <v>-1460</v>
      </c>
      <c r="N609" s="106"/>
      <c r="O609" s="107"/>
      <c r="P609" s="26">
        <f t="shared" ref="P609:P618" si="361">P608+O609</f>
        <v>-1460</v>
      </c>
      <c r="Q609" s="117"/>
      <c r="R609" s="117"/>
      <c r="S609" s="38">
        <f t="shared" ref="S609:S618" si="362">S608+R609</f>
        <v>-1460</v>
      </c>
      <c r="T609" s="106"/>
      <c r="U609" s="107"/>
      <c r="V609" s="20">
        <f t="shared" ref="V609:V618" si="363">V608+U609</f>
        <v>-1460</v>
      </c>
      <c r="W609" s="143"/>
    </row>
    <row r="610" spans="1:23" ht="15.75" customHeight="1">
      <c r="A610" s="114"/>
      <c r="B610" s="106"/>
      <c r="C610" s="107"/>
      <c r="D610" s="26">
        <f t="shared" si="357"/>
        <v>-1460</v>
      </c>
      <c r="E610" s="117"/>
      <c r="F610" s="117"/>
      <c r="G610" s="19">
        <f t="shared" si="358"/>
        <v>-1460</v>
      </c>
      <c r="H610" s="116"/>
      <c r="I610" s="107"/>
      <c r="J610" s="26">
        <f t="shared" si="359"/>
        <v>-1460</v>
      </c>
      <c r="K610" s="117"/>
      <c r="L610" s="117"/>
      <c r="M610" s="38">
        <f t="shared" si="360"/>
        <v>-1460</v>
      </c>
      <c r="N610" s="106"/>
      <c r="O610" s="107"/>
      <c r="P610" s="26">
        <f t="shared" si="361"/>
        <v>-1460</v>
      </c>
      <c r="Q610" s="117"/>
      <c r="R610" s="117"/>
      <c r="S610" s="38">
        <f t="shared" si="362"/>
        <v>-1460</v>
      </c>
      <c r="T610" s="106"/>
      <c r="U610" s="116"/>
      <c r="V610" s="20">
        <f t="shared" si="363"/>
        <v>-1460</v>
      </c>
      <c r="W610" s="143"/>
    </row>
    <row r="611" spans="1:23" ht="15.75" customHeight="1">
      <c r="A611" s="114"/>
      <c r="B611" s="106"/>
      <c r="C611" s="107"/>
      <c r="D611" s="26">
        <f t="shared" si="357"/>
        <v>-1460</v>
      </c>
      <c r="E611" s="117"/>
      <c r="F611" s="117"/>
      <c r="G611" s="19">
        <f t="shared" si="358"/>
        <v>-1460</v>
      </c>
      <c r="H611" s="116"/>
      <c r="I611" s="107"/>
      <c r="J611" s="26">
        <f t="shared" si="359"/>
        <v>-1460</v>
      </c>
      <c r="K611" s="117"/>
      <c r="L611" s="117"/>
      <c r="M611" s="38">
        <f t="shared" si="360"/>
        <v>-1460</v>
      </c>
      <c r="N611" s="106"/>
      <c r="O611" s="107"/>
      <c r="P611" s="26">
        <f t="shared" si="361"/>
        <v>-1460</v>
      </c>
      <c r="Q611" s="117"/>
      <c r="R611" s="117"/>
      <c r="S611" s="38">
        <f t="shared" si="362"/>
        <v>-1460</v>
      </c>
      <c r="T611" s="106"/>
      <c r="U611" s="116"/>
      <c r="V611" s="20">
        <f t="shared" si="363"/>
        <v>-1460</v>
      </c>
      <c r="W611" s="143"/>
    </row>
    <row r="612" spans="1:23" ht="15.75" customHeight="1">
      <c r="A612" s="114"/>
      <c r="B612" s="106"/>
      <c r="C612" s="107"/>
      <c r="D612" s="26">
        <f t="shared" si="357"/>
        <v>-1460</v>
      </c>
      <c r="E612" s="117"/>
      <c r="F612" s="117"/>
      <c r="G612" s="19">
        <f t="shared" si="358"/>
        <v>-1460</v>
      </c>
      <c r="H612" s="116"/>
      <c r="I612" s="107"/>
      <c r="J612" s="26">
        <f t="shared" si="359"/>
        <v>-1460</v>
      </c>
      <c r="K612" s="117"/>
      <c r="L612" s="117"/>
      <c r="M612" s="38">
        <f t="shared" si="360"/>
        <v>-1460</v>
      </c>
      <c r="N612" s="106"/>
      <c r="O612" s="107"/>
      <c r="P612" s="26">
        <f t="shared" si="361"/>
        <v>-1460</v>
      </c>
      <c r="Q612" s="117"/>
      <c r="R612" s="117"/>
      <c r="S612" s="38">
        <f t="shared" si="362"/>
        <v>-1460</v>
      </c>
      <c r="T612" s="106"/>
      <c r="U612" s="116"/>
      <c r="V612" s="20">
        <f t="shared" si="363"/>
        <v>-1460</v>
      </c>
      <c r="W612" s="143"/>
    </row>
    <row r="613" spans="1:23" ht="15.75" customHeight="1">
      <c r="A613" s="114"/>
      <c r="B613" s="106"/>
      <c r="C613" s="107"/>
      <c r="D613" s="26">
        <f t="shared" si="357"/>
        <v>-1460</v>
      </c>
      <c r="E613" s="117"/>
      <c r="F613" s="117"/>
      <c r="G613" s="19">
        <f t="shared" si="358"/>
        <v>-1460</v>
      </c>
      <c r="H613" s="116"/>
      <c r="I613" s="107"/>
      <c r="J613" s="26">
        <f t="shared" si="359"/>
        <v>-1460</v>
      </c>
      <c r="K613" s="117"/>
      <c r="L613" s="117"/>
      <c r="M613" s="38">
        <f t="shared" si="360"/>
        <v>-1460</v>
      </c>
      <c r="N613" s="106"/>
      <c r="O613" s="107"/>
      <c r="P613" s="26">
        <f t="shared" si="361"/>
        <v>-1460</v>
      </c>
      <c r="Q613" s="117"/>
      <c r="R613" s="117"/>
      <c r="S613" s="38">
        <f t="shared" si="362"/>
        <v>-1460</v>
      </c>
      <c r="T613" s="106"/>
      <c r="U613" s="116"/>
      <c r="V613" s="20">
        <f t="shared" si="363"/>
        <v>-1460</v>
      </c>
      <c r="W613" s="143"/>
    </row>
    <row r="614" spans="1:23" ht="15.75" customHeight="1">
      <c r="A614" s="114"/>
      <c r="B614" s="106"/>
      <c r="C614" s="107"/>
      <c r="D614" s="26">
        <f t="shared" si="357"/>
        <v>-1460</v>
      </c>
      <c r="E614" s="117"/>
      <c r="F614" s="117"/>
      <c r="G614" s="19">
        <f t="shared" si="358"/>
        <v>-1460</v>
      </c>
      <c r="H614" s="116"/>
      <c r="I614" s="107"/>
      <c r="J614" s="26">
        <f t="shared" si="359"/>
        <v>-1460</v>
      </c>
      <c r="K614" s="117"/>
      <c r="L614" s="117"/>
      <c r="M614" s="38">
        <f t="shared" si="360"/>
        <v>-1460</v>
      </c>
      <c r="N614" s="106"/>
      <c r="O614" s="107"/>
      <c r="P614" s="26">
        <f t="shared" si="361"/>
        <v>-1460</v>
      </c>
      <c r="Q614" s="117"/>
      <c r="R614" s="117"/>
      <c r="S614" s="38">
        <f t="shared" si="362"/>
        <v>-1460</v>
      </c>
      <c r="T614" s="106"/>
      <c r="U614" s="116"/>
      <c r="V614" s="20">
        <f t="shared" si="363"/>
        <v>-1460</v>
      </c>
      <c r="W614" s="143"/>
    </row>
    <row r="615" spans="1:23" ht="15.75" customHeight="1">
      <c r="A615" s="114"/>
      <c r="B615" s="106"/>
      <c r="C615" s="107"/>
      <c r="D615" s="26">
        <f t="shared" si="357"/>
        <v>-1460</v>
      </c>
      <c r="E615" s="117"/>
      <c r="F615" s="117"/>
      <c r="G615" s="19">
        <f t="shared" si="358"/>
        <v>-1460</v>
      </c>
      <c r="H615" s="116"/>
      <c r="I615" s="107"/>
      <c r="J615" s="26">
        <f t="shared" si="359"/>
        <v>-1460</v>
      </c>
      <c r="K615" s="117"/>
      <c r="L615" s="117"/>
      <c r="M615" s="38">
        <f t="shared" si="360"/>
        <v>-1460</v>
      </c>
      <c r="N615" s="106"/>
      <c r="O615" s="107"/>
      <c r="P615" s="26">
        <f t="shared" si="361"/>
        <v>-1460</v>
      </c>
      <c r="Q615" s="117"/>
      <c r="R615" s="117"/>
      <c r="S615" s="38">
        <f t="shared" si="362"/>
        <v>-1460</v>
      </c>
      <c r="T615" s="106"/>
      <c r="U615" s="116"/>
      <c r="V615" s="20">
        <f t="shared" si="363"/>
        <v>-1460</v>
      </c>
      <c r="W615" s="143"/>
    </row>
    <row r="616" spans="1:23" ht="15.75" customHeight="1">
      <c r="A616" s="114"/>
      <c r="B616" s="122"/>
      <c r="C616" s="123"/>
      <c r="D616" s="26">
        <f t="shared" si="357"/>
        <v>-1460</v>
      </c>
      <c r="E616" s="117"/>
      <c r="F616" s="117"/>
      <c r="G616" s="19">
        <f t="shared" si="358"/>
        <v>-1460</v>
      </c>
      <c r="H616" s="124"/>
      <c r="I616" s="123"/>
      <c r="J616" s="26">
        <f t="shared" si="359"/>
        <v>-1460</v>
      </c>
      <c r="K616" s="117"/>
      <c r="L616" s="117"/>
      <c r="M616" s="38">
        <f t="shared" si="360"/>
        <v>-1460</v>
      </c>
      <c r="N616" s="122"/>
      <c r="O616" s="123"/>
      <c r="P616" s="26">
        <f t="shared" si="361"/>
        <v>-1460</v>
      </c>
      <c r="Q616" s="117"/>
      <c r="R616" s="117"/>
      <c r="S616" s="38">
        <f t="shared" si="362"/>
        <v>-1460</v>
      </c>
      <c r="T616" s="106"/>
      <c r="U616" s="116"/>
      <c r="V616" s="20">
        <f t="shared" si="363"/>
        <v>-1460</v>
      </c>
      <c r="W616" s="143"/>
    </row>
    <row r="617" spans="1:23" ht="15.75" customHeight="1">
      <c r="A617" s="114"/>
      <c r="B617" s="122"/>
      <c r="C617" s="123"/>
      <c r="D617" s="26">
        <f t="shared" si="357"/>
        <v>-1460</v>
      </c>
      <c r="E617" s="117"/>
      <c r="F617" s="117"/>
      <c r="G617" s="19">
        <f t="shared" si="358"/>
        <v>-1460</v>
      </c>
      <c r="H617" s="124"/>
      <c r="I617" s="123"/>
      <c r="J617" s="26">
        <f t="shared" si="359"/>
        <v>-1460</v>
      </c>
      <c r="K617" s="117"/>
      <c r="L617" s="117"/>
      <c r="M617" s="38">
        <f t="shared" si="360"/>
        <v>-1460</v>
      </c>
      <c r="N617" s="122"/>
      <c r="O617" s="123"/>
      <c r="P617" s="26">
        <f t="shared" si="361"/>
        <v>-1460</v>
      </c>
      <c r="Q617" s="117"/>
      <c r="R617" s="117"/>
      <c r="S617" s="38">
        <f t="shared" si="362"/>
        <v>-1460</v>
      </c>
      <c r="T617" s="122"/>
      <c r="U617" s="124"/>
      <c r="V617" s="20">
        <f t="shared" si="363"/>
        <v>-1460</v>
      </c>
      <c r="W617" s="143"/>
    </row>
    <row r="618" spans="1:23" ht="15.75" customHeight="1">
      <c r="A618" s="114"/>
      <c r="B618" s="122"/>
      <c r="C618" s="123"/>
      <c r="D618" s="39">
        <f t="shared" si="357"/>
        <v>-1460</v>
      </c>
      <c r="E618" s="128"/>
      <c r="F618" s="128"/>
      <c r="G618" s="55">
        <f t="shared" si="358"/>
        <v>-1460</v>
      </c>
      <c r="H618" s="124"/>
      <c r="I618" s="123"/>
      <c r="J618" s="39">
        <f t="shared" si="359"/>
        <v>-1460</v>
      </c>
      <c r="K618" s="128"/>
      <c r="L618" s="128"/>
      <c r="M618" s="40">
        <f t="shared" si="360"/>
        <v>-1460</v>
      </c>
      <c r="N618" s="122"/>
      <c r="O618" s="123"/>
      <c r="P618" s="39">
        <f t="shared" si="361"/>
        <v>-1460</v>
      </c>
      <c r="Q618" s="128"/>
      <c r="R618" s="128"/>
      <c r="S618" s="40">
        <f t="shared" si="362"/>
        <v>-1460</v>
      </c>
      <c r="T618" s="122"/>
      <c r="U618" s="123"/>
      <c r="V618" s="49">
        <f t="shared" si="363"/>
        <v>-1460</v>
      </c>
      <c r="W618" s="143"/>
    </row>
    <row r="619" spans="1:23" ht="15.75" customHeight="1">
      <c r="A619" s="87"/>
      <c r="B619" s="77" t="str">
        <f ca="1">IFERROR(__xludf.DUMMYFUNCTION("DATE(VALUE(LEFT($B$2,4)),VALUE(MID($B$2,6,2)),VALUE(RIGHT($B$2,2)))
+ (VALUE(REGEXEXTRACT(INDIRECT(""A""&amp;ROW()+1),""\d+""))-1)*7
+ INT((COLUMN()-COLUMN($B619))/3)
"),"#VALUE!")</f>
        <v>#VALUE!</v>
      </c>
      <c r="C619" s="81"/>
      <c r="D619" s="82"/>
      <c r="E619" s="77" t="str">
        <f ca="1">IFERROR(__xludf.DUMMYFUNCTION("DATE(VALUE(LEFT($B$2,4)),VALUE(MID($B$2,6,2)),VALUE(RIGHT($B$2,2)))
+ (VALUE(REGEXEXTRACT(INDIRECT(""A""&amp;ROW()+1),""\d+""))-1)*7
+ INT((COLUMN()-COLUMN($B619))/3)
"),"#VALUE!")</f>
        <v>#VALUE!</v>
      </c>
      <c r="F619" s="81"/>
      <c r="G619" s="82"/>
      <c r="H619" s="77" t="str">
        <f ca="1">IFERROR(__xludf.DUMMYFUNCTION("DATE(VALUE(LEFT($B$2,4)),VALUE(MID($B$2,6,2)),VALUE(RIGHT($B$2,2)))
+ (VALUE(REGEXEXTRACT(INDIRECT(""A""&amp;ROW()+1),""\d+""))-1)*7
+ INT((COLUMN()-COLUMN($B619))/3)
"),"#VALUE!")</f>
        <v>#VALUE!</v>
      </c>
      <c r="I619" s="81"/>
      <c r="J619" s="82"/>
      <c r="K619" s="77" t="str">
        <f ca="1">IFERROR(__xludf.DUMMYFUNCTION("DATE(VALUE(LEFT($B$2,4)),VALUE(MID($B$2,6,2)),VALUE(RIGHT($B$2,2)))
+ (VALUE(REGEXEXTRACT(INDIRECT(""A""&amp;ROW()+1),""\d+""))-1)*7
+ INT((COLUMN()-COLUMN($B619))/3)
"),"#VALUE!")</f>
        <v>#VALUE!</v>
      </c>
      <c r="L619" s="81"/>
      <c r="M619" s="82"/>
      <c r="N619" s="77" t="str">
        <f ca="1">IFERROR(__xludf.DUMMYFUNCTION("DATE(VALUE(LEFT($B$2,4)),VALUE(MID($B$2,6,2)),VALUE(RIGHT($B$2,2)))
+ (VALUE(REGEXEXTRACT(INDIRECT(""A""&amp;ROW()+1),""\d+""))-1)*7
+ INT((COLUMN()-COLUMN($B619))/3)
"),"#VALUE!")</f>
        <v>#VALUE!</v>
      </c>
      <c r="O619" s="81"/>
      <c r="P619" s="82"/>
      <c r="Q619" s="77" t="str">
        <f ca="1">IFERROR(__xludf.DUMMYFUNCTION("DATE(VALUE(LEFT($B$2,4)),VALUE(MID($B$2,6,2)),VALUE(RIGHT($B$2,2)))
+ (VALUE(REGEXEXTRACT(INDIRECT(""A""&amp;ROW()+1),""\d+""))-1)*7
+ INT((COLUMN()-COLUMN($B619))/3)
"),"#VALUE!")</f>
        <v>#VALUE!</v>
      </c>
      <c r="R619" s="81"/>
      <c r="S619" s="82"/>
      <c r="T619" s="77" t="str">
        <f ca="1">IFERROR(__xludf.DUMMYFUNCTION("DATE(VALUE(LEFT($B$2,4)),VALUE(MID($B$2,6,2)),VALUE(RIGHT($B$2,2)))
+ (VALUE(REGEXEXTRACT(INDIRECT(""A""&amp;ROW()+1),""\d+""))-1)*7
+ INT((COLUMN()-COLUMN($B619))/3)
"),"#VALUE!")</f>
        <v>#VALUE!</v>
      </c>
      <c r="U619" s="81"/>
      <c r="V619" s="82"/>
      <c r="W619" s="52" t="s">
        <v>20</v>
      </c>
    </row>
    <row r="620" spans="1:23" ht="15.75" customHeight="1">
      <c r="A620" s="47" t="s">
        <v>181</v>
      </c>
      <c r="B620" s="113"/>
      <c r="C620" s="109"/>
      <c r="D620" s="42">
        <f>V618+C620</f>
        <v>-1460</v>
      </c>
      <c r="E620" s="112"/>
      <c r="F620" s="111"/>
      <c r="G620" s="36">
        <f>D630+F620</f>
        <v>-1460</v>
      </c>
      <c r="H620" s="132"/>
      <c r="I620" s="109"/>
      <c r="J620" s="42">
        <f>G630+I620</f>
        <v>-1460</v>
      </c>
      <c r="K620" s="112"/>
      <c r="L620" s="111"/>
      <c r="M620" s="18">
        <f>J630+L620</f>
        <v>-1460</v>
      </c>
      <c r="N620" s="113"/>
      <c r="O620" s="109"/>
      <c r="P620" s="35">
        <f>M630+O620</f>
        <v>-1460</v>
      </c>
      <c r="Q620" s="112"/>
      <c r="R620" s="111"/>
      <c r="S620" s="36">
        <f>P630+R620</f>
        <v>-1460</v>
      </c>
      <c r="T620" s="176"/>
      <c r="U620" s="173"/>
      <c r="V620" s="50">
        <f>S630+U620</f>
        <v>-1460</v>
      </c>
      <c r="W620" s="172"/>
    </row>
    <row r="621" spans="1:23" ht="15.75" customHeight="1">
      <c r="A621" s="114"/>
      <c r="B621" s="118"/>
      <c r="C621" s="117"/>
      <c r="D621" s="19">
        <f t="shared" ref="D621:D630" si="364">D620+C621</f>
        <v>-1460</v>
      </c>
      <c r="E621" s="106"/>
      <c r="F621" s="107"/>
      <c r="G621" s="26">
        <f t="shared" ref="G621:G630" si="365">G620+F621</f>
        <v>-1460</v>
      </c>
      <c r="H621" s="133"/>
      <c r="I621" s="117"/>
      <c r="J621" s="19">
        <f t="shared" ref="J621:J630" si="366">J620+I621</f>
        <v>-1460</v>
      </c>
      <c r="K621" s="106"/>
      <c r="L621" s="107"/>
      <c r="M621" s="26">
        <f t="shared" ref="M621:M630" si="367">M620+L621</f>
        <v>-1460</v>
      </c>
      <c r="N621" s="118"/>
      <c r="O621" s="117"/>
      <c r="P621" s="38">
        <f t="shared" ref="P621:P630" si="368">P620+O621</f>
        <v>-1460</v>
      </c>
      <c r="Q621" s="106"/>
      <c r="R621" s="107"/>
      <c r="S621" s="26">
        <f t="shared" ref="S621:S630" si="369">S620+R621</f>
        <v>-1460</v>
      </c>
      <c r="T621" s="177"/>
      <c r="U621" s="136"/>
      <c r="V621" s="45">
        <f t="shared" ref="V621:V630" si="370">V620+U621</f>
        <v>-1460</v>
      </c>
      <c r="W621" s="143"/>
    </row>
    <row r="622" spans="1:23" ht="15.75" customHeight="1">
      <c r="A622" s="114"/>
      <c r="B622" s="118"/>
      <c r="C622" s="117"/>
      <c r="D622" s="19">
        <f t="shared" si="364"/>
        <v>-1460</v>
      </c>
      <c r="E622" s="106"/>
      <c r="F622" s="107"/>
      <c r="G622" s="26">
        <f t="shared" si="365"/>
        <v>-1460</v>
      </c>
      <c r="H622" s="133"/>
      <c r="I622" s="117"/>
      <c r="J622" s="19">
        <f t="shared" si="366"/>
        <v>-1460</v>
      </c>
      <c r="K622" s="106"/>
      <c r="L622" s="107"/>
      <c r="M622" s="26">
        <f t="shared" si="367"/>
        <v>-1460</v>
      </c>
      <c r="N622" s="117"/>
      <c r="O622" s="117"/>
      <c r="P622" s="38">
        <f t="shared" si="368"/>
        <v>-1460</v>
      </c>
      <c r="Q622" s="106"/>
      <c r="R622" s="107"/>
      <c r="S622" s="26">
        <f t="shared" si="369"/>
        <v>-1460</v>
      </c>
      <c r="T622" s="177"/>
      <c r="U622" s="136"/>
      <c r="V622" s="45">
        <f t="shared" si="370"/>
        <v>-1460</v>
      </c>
      <c r="W622" s="143"/>
    </row>
    <row r="623" spans="1:23" ht="15.75" customHeight="1">
      <c r="A623" s="114"/>
      <c r="B623" s="118"/>
      <c r="C623" s="117"/>
      <c r="D623" s="19">
        <f t="shared" si="364"/>
        <v>-1460</v>
      </c>
      <c r="E623" s="106"/>
      <c r="F623" s="107"/>
      <c r="G623" s="26">
        <f t="shared" si="365"/>
        <v>-1460</v>
      </c>
      <c r="H623" s="133"/>
      <c r="I623" s="117"/>
      <c r="J623" s="19">
        <f t="shared" si="366"/>
        <v>-1460</v>
      </c>
      <c r="K623" s="106"/>
      <c r="L623" s="107"/>
      <c r="M623" s="26">
        <f t="shared" si="367"/>
        <v>-1460</v>
      </c>
      <c r="N623" s="117"/>
      <c r="O623" s="117"/>
      <c r="P623" s="38">
        <f t="shared" si="368"/>
        <v>-1460</v>
      </c>
      <c r="Q623" s="106"/>
      <c r="R623" s="107"/>
      <c r="S623" s="26">
        <f t="shared" si="369"/>
        <v>-1460</v>
      </c>
      <c r="T623" s="177"/>
      <c r="U623" s="136"/>
      <c r="V623" s="45">
        <f t="shared" si="370"/>
        <v>-1460</v>
      </c>
      <c r="W623" s="143"/>
    </row>
    <row r="624" spans="1:23" ht="15.75" customHeight="1">
      <c r="A624" s="114"/>
      <c r="B624" s="118"/>
      <c r="C624" s="117"/>
      <c r="D624" s="19">
        <f t="shared" si="364"/>
        <v>-1460</v>
      </c>
      <c r="E624" s="106"/>
      <c r="F624" s="107"/>
      <c r="G624" s="26">
        <f t="shared" si="365"/>
        <v>-1460</v>
      </c>
      <c r="H624" s="133"/>
      <c r="I624" s="117"/>
      <c r="J624" s="19">
        <f t="shared" si="366"/>
        <v>-1460</v>
      </c>
      <c r="K624" s="106"/>
      <c r="L624" s="107"/>
      <c r="M624" s="26">
        <f t="shared" si="367"/>
        <v>-1460</v>
      </c>
      <c r="N624" s="117"/>
      <c r="O624" s="117"/>
      <c r="P624" s="38">
        <f t="shared" si="368"/>
        <v>-1460</v>
      </c>
      <c r="Q624" s="106"/>
      <c r="R624" s="107"/>
      <c r="S624" s="26">
        <f t="shared" si="369"/>
        <v>-1460</v>
      </c>
      <c r="T624" s="177"/>
      <c r="U624" s="136"/>
      <c r="V624" s="45">
        <f t="shared" si="370"/>
        <v>-1460</v>
      </c>
      <c r="W624" s="143"/>
    </row>
    <row r="625" spans="1:23" ht="15.75" customHeight="1">
      <c r="A625" s="114"/>
      <c r="B625" s="118"/>
      <c r="C625" s="117"/>
      <c r="D625" s="19">
        <f t="shared" si="364"/>
        <v>-1460</v>
      </c>
      <c r="E625" s="106"/>
      <c r="F625" s="107"/>
      <c r="G625" s="26">
        <f t="shared" si="365"/>
        <v>-1460</v>
      </c>
      <c r="H625" s="133"/>
      <c r="I625" s="117"/>
      <c r="J625" s="19">
        <f t="shared" si="366"/>
        <v>-1460</v>
      </c>
      <c r="K625" s="106"/>
      <c r="L625" s="107"/>
      <c r="M625" s="26">
        <f t="shared" si="367"/>
        <v>-1460</v>
      </c>
      <c r="N625" s="117"/>
      <c r="O625" s="117"/>
      <c r="P625" s="38">
        <f t="shared" si="368"/>
        <v>-1460</v>
      </c>
      <c r="Q625" s="106"/>
      <c r="R625" s="107"/>
      <c r="S625" s="26">
        <f t="shared" si="369"/>
        <v>-1460</v>
      </c>
      <c r="T625" s="177"/>
      <c r="U625" s="136"/>
      <c r="V625" s="45">
        <f t="shared" si="370"/>
        <v>-1460</v>
      </c>
      <c r="W625" s="143"/>
    </row>
    <row r="626" spans="1:23" ht="15.75" customHeight="1">
      <c r="A626" s="114"/>
      <c r="B626" s="117"/>
      <c r="C626" s="117"/>
      <c r="D626" s="19">
        <f t="shared" si="364"/>
        <v>-1460</v>
      </c>
      <c r="E626" s="106"/>
      <c r="F626" s="107"/>
      <c r="G626" s="26">
        <f t="shared" si="365"/>
        <v>-1460</v>
      </c>
      <c r="H626" s="133"/>
      <c r="I626" s="117"/>
      <c r="J626" s="19">
        <f t="shared" si="366"/>
        <v>-1460</v>
      </c>
      <c r="K626" s="106"/>
      <c r="L626" s="107"/>
      <c r="M626" s="26">
        <f t="shared" si="367"/>
        <v>-1460</v>
      </c>
      <c r="N626" s="117"/>
      <c r="O626" s="117"/>
      <c r="P626" s="38">
        <f t="shared" si="368"/>
        <v>-1460</v>
      </c>
      <c r="Q626" s="106"/>
      <c r="R626" s="107"/>
      <c r="S626" s="26">
        <f t="shared" si="369"/>
        <v>-1460</v>
      </c>
      <c r="T626" s="177"/>
      <c r="U626" s="136"/>
      <c r="V626" s="45">
        <f t="shared" si="370"/>
        <v>-1460</v>
      </c>
      <c r="W626" s="143"/>
    </row>
    <row r="627" spans="1:23" ht="15.75" customHeight="1">
      <c r="A627" s="114"/>
      <c r="B627" s="117"/>
      <c r="C627" s="117"/>
      <c r="D627" s="19">
        <f t="shared" si="364"/>
        <v>-1460</v>
      </c>
      <c r="E627" s="106"/>
      <c r="F627" s="107"/>
      <c r="G627" s="26">
        <f t="shared" si="365"/>
        <v>-1460</v>
      </c>
      <c r="H627" s="133"/>
      <c r="I627" s="117"/>
      <c r="J627" s="19">
        <f t="shared" si="366"/>
        <v>-1460</v>
      </c>
      <c r="K627" s="106"/>
      <c r="L627" s="107"/>
      <c r="M627" s="26">
        <f t="shared" si="367"/>
        <v>-1460</v>
      </c>
      <c r="N627" s="117"/>
      <c r="O627" s="117"/>
      <c r="P627" s="38">
        <f t="shared" si="368"/>
        <v>-1460</v>
      </c>
      <c r="Q627" s="106"/>
      <c r="R627" s="107"/>
      <c r="S627" s="26">
        <f t="shared" si="369"/>
        <v>-1460</v>
      </c>
      <c r="T627" s="177"/>
      <c r="U627" s="136"/>
      <c r="V627" s="45">
        <f t="shared" si="370"/>
        <v>-1460</v>
      </c>
      <c r="W627" s="143"/>
    </row>
    <row r="628" spans="1:23" ht="15.75" customHeight="1">
      <c r="A628" s="114"/>
      <c r="B628" s="117"/>
      <c r="C628" s="117"/>
      <c r="D628" s="19">
        <f t="shared" si="364"/>
        <v>-1460</v>
      </c>
      <c r="E628" s="106"/>
      <c r="F628" s="107"/>
      <c r="G628" s="26">
        <f t="shared" si="365"/>
        <v>-1460</v>
      </c>
      <c r="H628" s="133"/>
      <c r="I628" s="117"/>
      <c r="J628" s="19">
        <f t="shared" si="366"/>
        <v>-1460</v>
      </c>
      <c r="K628" s="106"/>
      <c r="L628" s="107"/>
      <c r="M628" s="26">
        <f t="shared" si="367"/>
        <v>-1460</v>
      </c>
      <c r="N628" s="117"/>
      <c r="O628" s="117"/>
      <c r="P628" s="38">
        <f t="shared" si="368"/>
        <v>-1460</v>
      </c>
      <c r="Q628" s="106"/>
      <c r="R628" s="107"/>
      <c r="S628" s="26">
        <f t="shared" si="369"/>
        <v>-1460</v>
      </c>
      <c r="T628" s="177"/>
      <c r="U628" s="136"/>
      <c r="V628" s="45">
        <f t="shared" si="370"/>
        <v>-1460</v>
      </c>
      <c r="W628" s="143"/>
    </row>
    <row r="629" spans="1:23" ht="15.75" customHeight="1">
      <c r="A629" s="114"/>
      <c r="B629" s="117"/>
      <c r="C629" s="117"/>
      <c r="D629" s="19">
        <f t="shared" si="364"/>
        <v>-1460</v>
      </c>
      <c r="E629" s="122"/>
      <c r="F629" s="123"/>
      <c r="G629" s="26">
        <f t="shared" si="365"/>
        <v>-1460</v>
      </c>
      <c r="H629" s="133"/>
      <c r="I629" s="117"/>
      <c r="J629" s="19">
        <f t="shared" si="366"/>
        <v>-1460</v>
      </c>
      <c r="K629" s="122"/>
      <c r="L629" s="123"/>
      <c r="M629" s="26">
        <f t="shared" si="367"/>
        <v>-1460</v>
      </c>
      <c r="N629" s="117"/>
      <c r="O629" s="117"/>
      <c r="P629" s="38">
        <f t="shared" si="368"/>
        <v>-1460</v>
      </c>
      <c r="Q629" s="122"/>
      <c r="R629" s="123"/>
      <c r="S629" s="26">
        <f t="shared" si="369"/>
        <v>-1460</v>
      </c>
      <c r="T629" s="177"/>
      <c r="U629" s="136"/>
      <c r="V629" s="45">
        <f t="shared" si="370"/>
        <v>-1460</v>
      </c>
      <c r="W629" s="143"/>
    </row>
    <row r="630" spans="1:23" ht="15.75" customHeight="1">
      <c r="A630" s="114"/>
      <c r="B630" s="128"/>
      <c r="C630" s="128"/>
      <c r="D630" s="29">
        <f t="shared" si="364"/>
        <v>-1460</v>
      </c>
      <c r="E630" s="122"/>
      <c r="F630" s="123"/>
      <c r="G630" s="53">
        <f t="shared" si="365"/>
        <v>-1460</v>
      </c>
      <c r="H630" s="140"/>
      <c r="I630" s="128"/>
      <c r="J630" s="29">
        <f t="shared" si="366"/>
        <v>-1460</v>
      </c>
      <c r="K630" s="122"/>
      <c r="L630" s="123"/>
      <c r="M630" s="39">
        <f t="shared" si="367"/>
        <v>-1460</v>
      </c>
      <c r="N630" s="128"/>
      <c r="O630" s="128"/>
      <c r="P630" s="40">
        <f t="shared" si="368"/>
        <v>-1460</v>
      </c>
      <c r="Q630" s="122"/>
      <c r="R630" s="123"/>
      <c r="S630" s="53">
        <f t="shared" si="369"/>
        <v>-1460</v>
      </c>
      <c r="T630" s="178"/>
      <c r="U630" s="141"/>
      <c r="V630" s="46">
        <f t="shared" si="370"/>
        <v>-1460</v>
      </c>
      <c r="W630" s="143"/>
    </row>
    <row r="631" spans="1:23" ht="15.75" customHeight="1">
      <c r="A631" s="87"/>
      <c r="B631" s="77" t="str">
        <f ca="1">IFERROR(__xludf.DUMMYFUNCTION("DATE(VALUE(LEFT($B$2,4)),VALUE(MID($B$2,6,2)),VALUE(RIGHT($B$2,2)))
+ (VALUE(REGEXEXTRACT(INDIRECT(""A""&amp;ROW()+1),""\d+""))-1)*7
+ INT((COLUMN()-COLUMN($B631))/3)
"),"#VALUE!")</f>
        <v>#VALUE!</v>
      </c>
      <c r="C631" s="81"/>
      <c r="D631" s="82"/>
      <c r="E631" s="77" t="str">
        <f ca="1">IFERROR(__xludf.DUMMYFUNCTION("DATE(VALUE(LEFT($B$2,4)),VALUE(MID($B$2,6,2)),VALUE(RIGHT($B$2,2)))
+ (VALUE(REGEXEXTRACT(INDIRECT(""A""&amp;ROW()+1),""\d+""))-1)*7
+ INT((COLUMN()-COLUMN($B631))/3)
"),"#VALUE!")</f>
        <v>#VALUE!</v>
      </c>
      <c r="F631" s="81"/>
      <c r="G631" s="82"/>
      <c r="H631" s="77" t="str">
        <f ca="1">IFERROR(__xludf.DUMMYFUNCTION("DATE(VALUE(LEFT($B$2,4)),VALUE(MID($B$2,6,2)),VALUE(RIGHT($B$2,2)))
+ (VALUE(REGEXEXTRACT(INDIRECT(""A""&amp;ROW()+1),""\d+""))-1)*7
+ INT((COLUMN()-COLUMN($B631))/3)
"),"#VALUE!")</f>
        <v>#VALUE!</v>
      </c>
      <c r="I631" s="81"/>
      <c r="J631" s="82"/>
      <c r="K631" s="77" t="str">
        <f ca="1">IFERROR(__xludf.DUMMYFUNCTION("DATE(VALUE(LEFT($B$2,4)),VALUE(MID($B$2,6,2)),VALUE(RIGHT($B$2,2)))
+ (VALUE(REGEXEXTRACT(INDIRECT(""A""&amp;ROW()+1),""\d+""))-1)*7
+ INT((COLUMN()-COLUMN($B631))/3)
"),"#VALUE!")</f>
        <v>#VALUE!</v>
      </c>
      <c r="L631" s="81"/>
      <c r="M631" s="82"/>
      <c r="N631" s="77" t="str">
        <f ca="1">IFERROR(__xludf.DUMMYFUNCTION("DATE(VALUE(LEFT($B$2,4)),VALUE(MID($B$2,6,2)),VALUE(RIGHT($B$2,2)))
+ (VALUE(REGEXEXTRACT(INDIRECT(""A""&amp;ROW()+1),""\d+""))-1)*7
+ INT((COLUMN()-COLUMN($B631))/3)
"),"#VALUE!")</f>
        <v>#VALUE!</v>
      </c>
      <c r="O631" s="81"/>
      <c r="P631" s="82"/>
      <c r="Q631" s="77" t="str">
        <f ca="1">IFERROR(__xludf.DUMMYFUNCTION("DATE(VALUE(LEFT($B$2,4)),VALUE(MID($B$2,6,2)),VALUE(RIGHT($B$2,2)))
+ (VALUE(REGEXEXTRACT(INDIRECT(""A""&amp;ROW()+1),""\d+""))-1)*7
+ INT((COLUMN()-COLUMN($B631))/3)
"),"#VALUE!")</f>
        <v>#VALUE!</v>
      </c>
      <c r="R631" s="81"/>
      <c r="S631" s="82"/>
      <c r="T631" s="77" t="str">
        <f ca="1">IFERROR(__xludf.DUMMYFUNCTION("DATE(VALUE(LEFT($B$2,4)),VALUE(MID($B$2,6,2)),VALUE(RIGHT($B$2,2)))
+ (VALUE(REGEXEXTRACT(INDIRECT(""A""&amp;ROW()+1),""\d+""))-1)*7
+ INT((COLUMN()-COLUMN($B631))/3)
"),"#VALUE!")</f>
        <v>#VALUE!</v>
      </c>
      <c r="U631" s="81"/>
      <c r="V631" s="82"/>
      <c r="W631" s="143"/>
    </row>
    <row r="632" spans="1:23" ht="15.75" customHeight="1">
      <c r="A632" s="51" t="s">
        <v>182</v>
      </c>
      <c r="B632" s="112"/>
      <c r="C632" s="111"/>
      <c r="D632" s="17">
        <f>V630+C632</f>
        <v>-1460</v>
      </c>
      <c r="E632" s="109"/>
      <c r="F632" s="109"/>
      <c r="G632" s="42">
        <f>D642+F632</f>
        <v>-1460</v>
      </c>
      <c r="H632" s="112"/>
      <c r="I632" s="111"/>
      <c r="J632" s="17">
        <f>G642+I632</f>
        <v>-1460</v>
      </c>
      <c r="K632" s="109"/>
      <c r="L632" s="109"/>
      <c r="M632" s="35">
        <f>J642+L632</f>
        <v>-1460</v>
      </c>
      <c r="N632" s="112"/>
      <c r="O632" s="111"/>
      <c r="P632" s="17">
        <f>M642+O632</f>
        <v>-1460</v>
      </c>
      <c r="Q632" s="109"/>
      <c r="R632" s="109"/>
      <c r="S632" s="54">
        <f>P642+R632</f>
        <v>-1460</v>
      </c>
      <c r="T632" s="110"/>
      <c r="U632" s="111"/>
      <c r="V632" s="48">
        <f>S642+U632</f>
        <v>-1460</v>
      </c>
      <c r="W632" s="143"/>
    </row>
    <row r="633" spans="1:23" ht="15.75" customHeight="1">
      <c r="A633" s="114"/>
      <c r="B633" s="106"/>
      <c r="C633" s="107"/>
      <c r="D633" s="26">
        <f t="shared" ref="D633:D642" si="371">D632+C633</f>
        <v>-1460</v>
      </c>
      <c r="E633" s="117"/>
      <c r="F633" s="117"/>
      <c r="G633" s="19">
        <f t="shared" ref="G633:G642" si="372">G632+F633</f>
        <v>-1460</v>
      </c>
      <c r="H633" s="106"/>
      <c r="I633" s="107"/>
      <c r="J633" s="26">
        <f t="shared" ref="J633:J642" si="373">J632+I633</f>
        <v>-1460</v>
      </c>
      <c r="K633" s="117"/>
      <c r="L633" s="117"/>
      <c r="M633" s="38">
        <f t="shared" ref="M633:M642" si="374">M632+L633</f>
        <v>-1460</v>
      </c>
      <c r="N633" s="106"/>
      <c r="O633" s="107"/>
      <c r="P633" s="26">
        <f t="shared" ref="P633:P642" si="375">P632+O633</f>
        <v>-1460</v>
      </c>
      <c r="Q633" s="117"/>
      <c r="R633" s="117"/>
      <c r="S633" s="19">
        <f t="shared" ref="S633:S642" si="376">S632+R633</f>
        <v>-1460</v>
      </c>
      <c r="T633" s="116"/>
      <c r="U633" s="107"/>
      <c r="V633" s="20">
        <f t="shared" ref="V633:V642" si="377">V632+U633</f>
        <v>-1460</v>
      </c>
      <c r="W633" s="143"/>
    </row>
    <row r="634" spans="1:23" ht="15.75" customHeight="1">
      <c r="A634" s="114"/>
      <c r="B634" s="106"/>
      <c r="C634" s="107"/>
      <c r="D634" s="26">
        <f t="shared" si="371"/>
        <v>-1460</v>
      </c>
      <c r="E634" s="117"/>
      <c r="F634" s="117"/>
      <c r="G634" s="19">
        <f t="shared" si="372"/>
        <v>-1460</v>
      </c>
      <c r="H634" s="106"/>
      <c r="I634" s="107"/>
      <c r="J634" s="26">
        <f t="shared" si="373"/>
        <v>-1460</v>
      </c>
      <c r="K634" s="117"/>
      <c r="L634" s="117"/>
      <c r="M634" s="38">
        <f t="shared" si="374"/>
        <v>-1460</v>
      </c>
      <c r="N634" s="106"/>
      <c r="O634" s="107"/>
      <c r="P634" s="26">
        <f t="shared" si="375"/>
        <v>-1460</v>
      </c>
      <c r="Q634" s="117"/>
      <c r="R634" s="117"/>
      <c r="S634" s="19">
        <f t="shared" si="376"/>
        <v>-1460</v>
      </c>
      <c r="T634" s="116"/>
      <c r="U634" s="116"/>
      <c r="V634" s="20">
        <f t="shared" si="377"/>
        <v>-1460</v>
      </c>
      <c r="W634" s="143"/>
    </row>
    <row r="635" spans="1:23" ht="15.75" customHeight="1">
      <c r="A635" s="114"/>
      <c r="B635" s="106"/>
      <c r="C635" s="107"/>
      <c r="D635" s="26">
        <f t="shared" si="371"/>
        <v>-1460</v>
      </c>
      <c r="E635" s="117"/>
      <c r="F635" s="117"/>
      <c r="G635" s="19">
        <f t="shared" si="372"/>
        <v>-1460</v>
      </c>
      <c r="H635" s="106"/>
      <c r="I635" s="107"/>
      <c r="J635" s="26">
        <f t="shared" si="373"/>
        <v>-1460</v>
      </c>
      <c r="K635" s="117"/>
      <c r="L635" s="117"/>
      <c r="M635" s="38">
        <f t="shared" si="374"/>
        <v>-1460</v>
      </c>
      <c r="N635" s="106"/>
      <c r="O635" s="107"/>
      <c r="P635" s="26">
        <f t="shared" si="375"/>
        <v>-1460</v>
      </c>
      <c r="Q635" s="117"/>
      <c r="R635" s="117"/>
      <c r="S635" s="19">
        <f t="shared" si="376"/>
        <v>-1460</v>
      </c>
      <c r="T635" s="116"/>
      <c r="U635" s="116"/>
      <c r="V635" s="20">
        <f t="shared" si="377"/>
        <v>-1460</v>
      </c>
      <c r="W635" s="143"/>
    </row>
    <row r="636" spans="1:23" ht="15.75" customHeight="1">
      <c r="A636" s="114"/>
      <c r="B636" s="106"/>
      <c r="C636" s="107"/>
      <c r="D636" s="26">
        <f t="shared" si="371"/>
        <v>-1460</v>
      </c>
      <c r="E636" s="117"/>
      <c r="F636" s="117"/>
      <c r="G636" s="19">
        <f t="shared" si="372"/>
        <v>-1460</v>
      </c>
      <c r="H636" s="106"/>
      <c r="I636" s="107"/>
      <c r="J636" s="26">
        <f t="shared" si="373"/>
        <v>-1460</v>
      </c>
      <c r="K636" s="117"/>
      <c r="L636" s="117"/>
      <c r="M636" s="38">
        <f t="shared" si="374"/>
        <v>-1460</v>
      </c>
      <c r="N636" s="106"/>
      <c r="O636" s="107"/>
      <c r="P636" s="26">
        <f t="shared" si="375"/>
        <v>-1460</v>
      </c>
      <c r="Q636" s="117"/>
      <c r="R636" s="117"/>
      <c r="S636" s="19">
        <f t="shared" si="376"/>
        <v>-1460</v>
      </c>
      <c r="T636" s="116"/>
      <c r="U636" s="116"/>
      <c r="V636" s="20">
        <f t="shared" si="377"/>
        <v>-1460</v>
      </c>
      <c r="W636" s="143"/>
    </row>
    <row r="637" spans="1:23" ht="15.75" customHeight="1">
      <c r="A637" s="114"/>
      <c r="B637" s="106"/>
      <c r="C637" s="107"/>
      <c r="D637" s="26">
        <f t="shared" si="371"/>
        <v>-1460</v>
      </c>
      <c r="E637" s="117"/>
      <c r="F637" s="117"/>
      <c r="G637" s="19">
        <f t="shared" si="372"/>
        <v>-1460</v>
      </c>
      <c r="H637" s="106"/>
      <c r="I637" s="107"/>
      <c r="J637" s="26">
        <f t="shared" si="373"/>
        <v>-1460</v>
      </c>
      <c r="K637" s="117"/>
      <c r="L637" s="117"/>
      <c r="M637" s="38">
        <f t="shared" si="374"/>
        <v>-1460</v>
      </c>
      <c r="N637" s="106"/>
      <c r="O637" s="107"/>
      <c r="P637" s="26">
        <f t="shared" si="375"/>
        <v>-1460</v>
      </c>
      <c r="Q637" s="117"/>
      <c r="R637" s="117"/>
      <c r="S637" s="19">
        <f t="shared" si="376"/>
        <v>-1460</v>
      </c>
      <c r="T637" s="116"/>
      <c r="U637" s="116"/>
      <c r="V637" s="20">
        <f t="shared" si="377"/>
        <v>-1460</v>
      </c>
      <c r="W637" s="143"/>
    </row>
    <row r="638" spans="1:23" ht="15.75" customHeight="1">
      <c r="A638" s="114"/>
      <c r="B638" s="106"/>
      <c r="C638" s="107"/>
      <c r="D638" s="26">
        <f t="shared" si="371"/>
        <v>-1460</v>
      </c>
      <c r="E638" s="117"/>
      <c r="F638" s="117"/>
      <c r="G638" s="19">
        <f t="shared" si="372"/>
        <v>-1460</v>
      </c>
      <c r="H638" s="106"/>
      <c r="I638" s="107"/>
      <c r="J638" s="26">
        <f t="shared" si="373"/>
        <v>-1460</v>
      </c>
      <c r="K638" s="117"/>
      <c r="L638" s="117"/>
      <c r="M638" s="38">
        <f t="shared" si="374"/>
        <v>-1460</v>
      </c>
      <c r="N638" s="106"/>
      <c r="O638" s="107"/>
      <c r="P638" s="26">
        <f t="shared" si="375"/>
        <v>-1460</v>
      </c>
      <c r="Q638" s="117"/>
      <c r="R638" s="117"/>
      <c r="S638" s="19">
        <f t="shared" si="376"/>
        <v>-1460</v>
      </c>
      <c r="T638" s="116"/>
      <c r="U638" s="116"/>
      <c r="V638" s="20">
        <f t="shared" si="377"/>
        <v>-1460</v>
      </c>
      <c r="W638" s="143"/>
    </row>
    <row r="639" spans="1:23" ht="15.75" customHeight="1">
      <c r="A639" s="114"/>
      <c r="B639" s="106"/>
      <c r="C639" s="107"/>
      <c r="D639" s="26">
        <f t="shared" si="371"/>
        <v>-1460</v>
      </c>
      <c r="E639" s="117"/>
      <c r="F639" s="117"/>
      <c r="G639" s="19">
        <f t="shared" si="372"/>
        <v>-1460</v>
      </c>
      <c r="H639" s="106"/>
      <c r="I639" s="107"/>
      <c r="J639" s="26">
        <f t="shared" si="373"/>
        <v>-1460</v>
      </c>
      <c r="K639" s="117"/>
      <c r="L639" s="117"/>
      <c r="M639" s="38">
        <f t="shared" si="374"/>
        <v>-1460</v>
      </c>
      <c r="N639" s="106"/>
      <c r="O639" s="107"/>
      <c r="P639" s="26">
        <f t="shared" si="375"/>
        <v>-1460</v>
      </c>
      <c r="Q639" s="117"/>
      <c r="R639" s="117"/>
      <c r="S639" s="19">
        <f t="shared" si="376"/>
        <v>-1460</v>
      </c>
      <c r="T639" s="116"/>
      <c r="U639" s="116"/>
      <c r="V639" s="20">
        <f t="shared" si="377"/>
        <v>-1460</v>
      </c>
      <c r="W639" s="143"/>
    </row>
    <row r="640" spans="1:23" ht="15.75" customHeight="1">
      <c r="A640" s="114"/>
      <c r="B640" s="122"/>
      <c r="C640" s="123"/>
      <c r="D640" s="26">
        <f t="shared" si="371"/>
        <v>-1460</v>
      </c>
      <c r="E640" s="117"/>
      <c r="F640" s="117"/>
      <c r="G640" s="19">
        <f t="shared" si="372"/>
        <v>-1460</v>
      </c>
      <c r="H640" s="122"/>
      <c r="I640" s="123"/>
      <c r="J640" s="26">
        <f t="shared" si="373"/>
        <v>-1460</v>
      </c>
      <c r="K640" s="117"/>
      <c r="L640" s="117"/>
      <c r="M640" s="38">
        <f t="shared" si="374"/>
        <v>-1460</v>
      </c>
      <c r="N640" s="122"/>
      <c r="O640" s="123"/>
      <c r="P640" s="26">
        <f t="shared" si="375"/>
        <v>-1460</v>
      </c>
      <c r="Q640" s="117"/>
      <c r="R640" s="117"/>
      <c r="S640" s="19">
        <f t="shared" si="376"/>
        <v>-1460</v>
      </c>
      <c r="T640" s="116"/>
      <c r="U640" s="116"/>
      <c r="V640" s="20">
        <f t="shared" si="377"/>
        <v>-1460</v>
      </c>
      <c r="W640" s="143"/>
    </row>
    <row r="641" spans="1:23" ht="15.75" customHeight="1">
      <c r="A641" s="114"/>
      <c r="B641" s="122"/>
      <c r="C641" s="123"/>
      <c r="D641" s="26">
        <f t="shared" si="371"/>
        <v>-1460</v>
      </c>
      <c r="E641" s="117"/>
      <c r="F641" s="117"/>
      <c r="G641" s="19">
        <f t="shared" si="372"/>
        <v>-1460</v>
      </c>
      <c r="H641" s="122"/>
      <c r="I641" s="123"/>
      <c r="J641" s="26">
        <f t="shared" si="373"/>
        <v>-1460</v>
      </c>
      <c r="K641" s="117"/>
      <c r="L641" s="117"/>
      <c r="M641" s="38">
        <f t="shared" si="374"/>
        <v>-1460</v>
      </c>
      <c r="N641" s="122"/>
      <c r="O641" s="123"/>
      <c r="P641" s="26">
        <f t="shared" si="375"/>
        <v>-1460</v>
      </c>
      <c r="Q641" s="117"/>
      <c r="R641" s="117"/>
      <c r="S641" s="19">
        <f t="shared" si="376"/>
        <v>-1460</v>
      </c>
      <c r="T641" s="124"/>
      <c r="U641" s="124"/>
      <c r="V641" s="20">
        <f t="shared" si="377"/>
        <v>-1460</v>
      </c>
      <c r="W641" s="143"/>
    </row>
    <row r="642" spans="1:23" ht="15.75" customHeight="1">
      <c r="A642" s="114"/>
      <c r="B642" s="126"/>
      <c r="C642" s="127"/>
      <c r="D642" s="59">
        <f t="shared" si="371"/>
        <v>-1460</v>
      </c>
      <c r="E642" s="157"/>
      <c r="F642" s="157"/>
      <c r="G642" s="60">
        <f t="shared" si="372"/>
        <v>-1460</v>
      </c>
      <c r="H642" s="126"/>
      <c r="I642" s="127"/>
      <c r="J642" s="59">
        <f t="shared" si="373"/>
        <v>-1460</v>
      </c>
      <c r="K642" s="157"/>
      <c r="L642" s="157"/>
      <c r="M642" s="61">
        <f t="shared" si="374"/>
        <v>-1460</v>
      </c>
      <c r="N642" s="126"/>
      <c r="O642" s="127"/>
      <c r="P642" s="59">
        <f t="shared" si="375"/>
        <v>-1460</v>
      </c>
      <c r="Q642" s="157"/>
      <c r="R642" s="157"/>
      <c r="S642" s="55">
        <f t="shared" si="376"/>
        <v>-1460</v>
      </c>
      <c r="T642" s="181"/>
      <c r="U642" s="127"/>
      <c r="V642" s="62">
        <f t="shared" si="377"/>
        <v>-1460</v>
      </c>
      <c r="W642" s="143"/>
    </row>
    <row r="643" spans="1:23" ht="15.75" customHeight="1">
      <c r="A643" s="5"/>
      <c r="B643" s="74">
        <v>239.07382550335601</v>
      </c>
      <c r="C643" s="81"/>
      <c r="D643" s="82"/>
      <c r="E643" s="74"/>
      <c r="F643" s="81"/>
      <c r="G643" s="82"/>
      <c r="H643" s="74"/>
      <c r="I643" s="81"/>
      <c r="J643" s="82"/>
      <c r="K643" s="74"/>
      <c r="L643" s="81"/>
      <c r="M643" s="82"/>
      <c r="N643" s="74"/>
      <c r="O643" s="81"/>
      <c r="P643" s="82"/>
      <c r="Q643" s="74"/>
      <c r="R643" s="81"/>
      <c r="S643" s="82"/>
      <c r="T643" s="75"/>
      <c r="U643" s="81"/>
      <c r="V643" s="182"/>
      <c r="W643" s="183"/>
    </row>
    <row r="644" spans="1:23" ht="15.75" customHeight="1">
      <c r="A644" s="2"/>
    </row>
    <row r="645" spans="1:23" ht="15.75" customHeight="1">
      <c r="A645" s="2"/>
    </row>
    <row r="646" spans="1:23" ht="15.75" customHeight="1">
      <c r="A646" s="2"/>
    </row>
    <row r="647" spans="1:23" ht="15.75" customHeight="1">
      <c r="A647" s="2"/>
    </row>
    <row r="648" spans="1:23" ht="15.75" customHeight="1">
      <c r="A648" s="2"/>
    </row>
    <row r="649" spans="1:23" ht="15.75" customHeight="1">
      <c r="A649" s="2"/>
    </row>
    <row r="650" spans="1:23" ht="15.75" customHeight="1">
      <c r="A650" s="2"/>
    </row>
    <row r="651" spans="1:23" ht="15.75" customHeight="1">
      <c r="A651" s="2"/>
      <c r="I651" s="3" t="s">
        <v>120</v>
      </c>
    </row>
    <row r="652" spans="1:23" ht="15.75" customHeight="1">
      <c r="A652" s="2"/>
    </row>
    <row r="653" spans="1:23" ht="15.75" customHeight="1">
      <c r="A653" s="2"/>
    </row>
    <row r="654" spans="1:23" ht="15.75" customHeight="1">
      <c r="A654" s="2"/>
    </row>
    <row r="655" spans="1:23" ht="15.75" customHeight="1">
      <c r="A655" s="2"/>
    </row>
    <row r="656" spans="1:23"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386">
    <mergeCell ref="E547:G547"/>
    <mergeCell ref="H547:J547"/>
    <mergeCell ref="K547:M547"/>
    <mergeCell ref="N547:P547"/>
    <mergeCell ref="Q547:S547"/>
    <mergeCell ref="T547:V547"/>
    <mergeCell ref="B547:D547"/>
    <mergeCell ref="E559:G559"/>
    <mergeCell ref="H559:J559"/>
    <mergeCell ref="K559:M559"/>
    <mergeCell ref="N559:P559"/>
    <mergeCell ref="Q559:S559"/>
    <mergeCell ref="T559:V559"/>
    <mergeCell ref="E523:G523"/>
    <mergeCell ref="H523:J523"/>
    <mergeCell ref="K523:M523"/>
    <mergeCell ref="N523:P523"/>
    <mergeCell ref="Q523:S523"/>
    <mergeCell ref="T523:V523"/>
    <mergeCell ref="B523:D523"/>
    <mergeCell ref="E535:G535"/>
    <mergeCell ref="H535:J535"/>
    <mergeCell ref="K535:M535"/>
    <mergeCell ref="N535:P535"/>
    <mergeCell ref="Q535:S535"/>
    <mergeCell ref="T535:V535"/>
    <mergeCell ref="B535:D535"/>
    <mergeCell ref="E499:G499"/>
    <mergeCell ref="H499:J499"/>
    <mergeCell ref="K499:M499"/>
    <mergeCell ref="N499:P499"/>
    <mergeCell ref="Q499:S499"/>
    <mergeCell ref="T499:V499"/>
    <mergeCell ref="B499:D499"/>
    <mergeCell ref="E511:G511"/>
    <mergeCell ref="H511:J511"/>
    <mergeCell ref="K511:M511"/>
    <mergeCell ref="N511:P511"/>
    <mergeCell ref="Q511:S511"/>
    <mergeCell ref="T511:V511"/>
    <mergeCell ref="B511:D511"/>
    <mergeCell ref="E475:G475"/>
    <mergeCell ref="H475:J475"/>
    <mergeCell ref="K475:M475"/>
    <mergeCell ref="N475:P475"/>
    <mergeCell ref="Q475:S475"/>
    <mergeCell ref="T475:V475"/>
    <mergeCell ref="B475:D475"/>
    <mergeCell ref="E487:G487"/>
    <mergeCell ref="H487:J487"/>
    <mergeCell ref="K487:M487"/>
    <mergeCell ref="N487:P487"/>
    <mergeCell ref="Q487:S487"/>
    <mergeCell ref="T487:V487"/>
    <mergeCell ref="B487:D487"/>
    <mergeCell ref="E451:G451"/>
    <mergeCell ref="H451:J451"/>
    <mergeCell ref="K451:M451"/>
    <mergeCell ref="N451:P451"/>
    <mergeCell ref="Q451:S451"/>
    <mergeCell ref="T451:V451"/>
    <mergeCell ref="B451:D451"/>
    <mergeCell ref="E463:G463"/>
    <mergeCell ref="H463:J463"/>
    <mergeCell ref="K463:M463"/>
    <mergeCell ref="N463:P463"/>
    <mergeCell ref="Q463:S463"/>
    <mergeCell ref="T463:V463"/>
    <mergeCell ref="B463:D463"/>
    <mergeCell ref="K427:M427"/>
    <mergeCell ref="N427:P427"/>
    <mergeCell ref="Q427:S427"/>
    <mergeCell ref="T427:V427"/>
    <mergeCell ref="B427:D427"/>
    <mergeCell ref="E439:G439"/>
    <mergeCell ref="H439:J439"/>
    <mergeCell ref="K439:M439"/>
    <mergeCell ref="N439:P439"/>
    <mergeCell ref="Q439:S439"/>
    <mergeCell ref="T439:V439"/>
    <mergeCell ref="B439:D439"/>
    <mergeCell ref="B643:D643"/>
    <mergeCell ref="E643:G643"/>
    <mergeCell ref="H643:J643"/>
    <mergeCell ref="K643:M643"/>
    <mergeCell ref="N643:P643"/>
    <mergeCell ref="Q643:S643"/>
    <mergeCell ref="T643:V643"/>
    <mergeCell ref="B391:D391"/>
    <mergeCell ref="E403:G403"/>
    <mergeCell ref="H403:J403"/>
    <mergeCell ref="K403:M403"/>
    <mergeCell ref="N403:P403"/>
    <mergeCell ref="Q403:S403"/>
    <mergeCell ref="T403:V403"/>
    <mergeCell ref="B403:D403"/>
    <mergeCell ref="E415:G415"/>
    <mergeCell ref="H415:J415"/>
    <mergeCell ref="K415:M415"/>
    <mergeCell ref="N415:P415"/>
    <mergeCell ref="Q415:S415"/>
    <mergeCell ref="T415:V415"/>
    <mergeCell ref="B415:D415"/>
    <mergeCell ref="E427:G427"/>
    <mergeCell ref="H427:J427"/>
    <mergeCell ref="E45:G45"/>
    <mergeCell ref="H45:J45"/>
    <mergeCell ref="K45:M45"/>
    <mergeCell ref="N45:P45"/>
    <mergeCell ref="Q45:S45"/>
    <mergeCell ref="T45:V45"/>
    <mergeCell ref="B45:D45"/>
    <mergeCell ref="E57:G57"/>
    <mergeCell ref="H57:J57"/>
    <mergeCell ref="K57:M57"/>
    <mergeCell ref="N57:P57"/>
    <mergeCell ref="Q57:S57"/>
    <mergeCell ref="T57:V57"/>
    <mergeCell ref="E23:G23"/>
    <mergeCell ref="H23:J23"/>
    <mergeCell ref="K23:M23"/>
    <mergeCell ref="N23:P23"/>
    <mergeCell ref="Q23:S23"/>
    <mergeCell ref="T23:V23"/>
    <mergeCell ref="B23:D23"/>
    <mergeCell ref="E34:G34"/>
    <mergeCell ref="H34:J34"/>
    <mergeCell ref="K34:M34"/>
    <mergeCell ref="N34:P34"/>
    <mergeCell ref="Q34:S34"/>
    <mergeCell ref="T34:V34"/>
    <mergeCell ref="B34:D34"/>
    <mergeCell ref="B1:V1"/>
    <mergeCell ref="E2:G2"/>
    <mergeCell ref="H2:J2"/>
    <mergeCell ref="K2:M2"/>
    <mergeCell ref="N2:P2"/>
    <mergeCell ref="Q2:S2"/>
    <mergeCell ref="T2:V2"/>
    <mergeCell ref="B2:D2"/>
    <mergeCell ref="E12:G12"/>
    <mergeCell ref="H12:J12"/>
    <mergeCell ref="K12:M12"/>
    <mergeCell ref="N12:P12"/>
    <mergeCell ref="Q12:S12"/>
    <mergeCell ref="T12:V12"/>
    <mergeCell ref="B12:D12"/>
    <mergeCell ref="E619:G619"/>
    <mergeCell ref="H619:J619"/>
    <mergeCell ref="K619:M619"/>
    <mergeCell ref="N619:P619"/>
    <mergeCell ref="Q619:S619"/>
    <mergeCell ref="T619:V619"/>
    <mergeCell ref="B619:D619"/>
    <mergeCell ref="E631:G631"/>
    <mergeCell ref="H631:J631"/>
    <mergeCell ref="K631:M631"/>
    <mergeCell ref="N631:P631"/>
    <mergeCell ref="Q631:S631"/>
    <mergeCell ref="T631:V631"/>
    <mergeCell ref="B631:D631"/>
    <mergeCell ref="E595:G595"/>
    <mergeCell ref="H595:J595"/>
    <mergeCell ref="K595:M595"/>
    <mergeCell ref="N595:P595"/>
    <mergeCell ref="Q595:S595"/>
    <mergeCell ref="T595:V595"/>
    <mergeCell ref="B595:D595"/>
    <mergeCell ref="E607:G607"/>
    <mergeCell ref="H607:J607"/>
    <mergeCell ref="K607:M607"/>
    <mergeCell ref="N607:P607"/>
    <mergeCell ref="Q607:S607"/>
    <mergeCell ref="T607:V607"/>
    <mergeCell ref="B607:D607"/>
    <mergeCell ref="B559:D559"/>
    <mergeCell ref="E571:G571"/>
    <mergeCell ref="H571:J571"/>
    <mergeCell ref="K571:M571"/>
    <mergeCell ref="N571:P571"/>
    <mergeCell ref="Q571:S571"/>
    <mergeCell ref="T571:V571"/>
    <mergeCell ref="B571:D571"/>
    <mergeCell ref="E583:G583"/>
    <mergeCell ref="H583:J583"/>
    <mergeCell ref="K583:M583"/>
    <mergeCell ref="N583:P583"/>
    <mergeCell ref="Q583:S583"/>
    <mergeCell ref="T583:V583"/>
    <mergeCell ref="B583:D583"/>
    <mergeCell ref="E379:G379"/>
    <mergeCell ref="H379:J379"/>
    <mergeCell ref="K379:M379"/>
    <mergeCell ref="N379:P379"/>
    <mergeCell ref="Q379:S379"/>
    <mergeCell ref="T379:V379"/>
    <mergeCell ref="B379:D379"/>
    <mergeCell ref="E391:G391"/>
    <mergeCell ref="H391:J391"/>
    <mergeCell ref="K391:M391"/>
    <mergeCell ref="N391:P391"/>
    <mergeCell ref="Q391:S391"/>
    <mergeCell ref="T391:V391"/>
    <mergeCell ref="E355:G355"/>
    <mergeCell ref="H355:J355"/>
    <mergeCell ref="K355:M355"/>
    <mergeCell ref="N355:P355"/>
    <mergeCell ref="Q355:S355"/>
    <mergeCell ref="T355:V355"/>
    <mergeCell ref="B355:D355"/>
    <mergeCell ref="E367:G367"/>
    <mergeCell ref="H367:J367"/>
    <mergeCell ref="K367:M367"/>
    <mergeCell ref="N367:P367"/>
    <mergeCell ref="Q367:S367"/>
    <mergeCell ref="T367:V367"/>
    <mergeCell ref="B367:D367"/>
    <mergeCell ref="E331:G331"/>
    <mergeCell ref="H331:J331"/>
    <mergeCell ref="K331:M331"/>
    <mergeCell ref="N331:P331"/>
    <mergeCell ref="Q331:S331"/>
    <mergeCell ref="T331:V331"/>
    <mergeCell ref="B331:D331"/>
    <mergeCell ref="E343:G343"/>
    <mergeCell ref="H343:J343"/>
    <mergeCell ref="K343:M343"/>
    <mergeCell ref="N343:P343"/>
    <mergeCell ref="Q343:S343"/>
    <mergeCell ref="T343:V343"/>
    <mergeCell ref="B343:D343"/>
    <mergeCell ref="E307:G307"/>
    <mergeCell ref="H307:J307"/>
    <mergeCell ref="K307:M307"/>
    <mergeCell ref="N307:P307"/>
    <mergeCell ref="Q307:S307"/>
    <mergeCell ref="T307:V307"/>
    <mergeCell ref="B307:D307"/>
    <mergeCell ref="E319:G319"/>
    <mergeCell ref="H319:J319"/>
    <mergeCell ref="K319:M319"/>
    <mergeCell ref="N319:P319"/>
    <mergeCell ref="Q319:S319"/>
    <mergeCell ref="T319:V319"/>
    <mergeCell ref="B319:D319"/>
    <mergeCell ref="E283:G283"/>
    <mergeCell ref="H283:J283"/>
    <mergeCell ref="K283:M283"/>
    <mergeCell ref="N283:P283"/>
    <mergeCell ref="Q283:S283"/>
    <mergeCell ref="T283:V283"/>
    <mergeCell ref="B283:D283"/>
    <mergeCell ref="E295:G295"/>
    <mergeCell ref="H295:J295"/>
    <mergeCell ref="K295:M295"/>
    <mergeCell ref="N295:P295"/>
    <mergeCell ref="Q295:S295"/>
    <mergeCell ref="T295:V295"/>
    <mergeCell ref="B295:D295"/>
    <mergeCell ref="E259:G259"/>
    <mergeCell ref="H259:J259"/>
    <mergeCell ref="K259:M259"/>
    <mergeCell ref="N259:P259"/>
    <mergeCell ref="Q259:S259"/>
    <mergeCell ref="T259:V259"/>
    <mergeCell ref="B259:D259"/>
    <mergeCell ref="E271:G271"/>
    <mergeCell ref="H271:J271"/>
    <mergeCell ref="K271:M271"/>
    <mergeCell ref="N271:P271"/>
    <mergeCell ref="Q271:S271"/>
    <mergeCell ref="T271:V271"/>
    <mergeCell ref="B271:D271"/>
    <mergeCell ref="E235:G235"/>
    <mergeCell ref="H235:J235"/>
    <mergeCell ref="K235:M235"/>
    <mergeCell ref="N235:P235"/>
    <mergeCell ref="Q235:S235"/>
    <mergeCell ref="T235:V235"/>
    <mergeCell ref="B235:D235"/>
    <mergeCell ref="E247:G247"/>
    <mergeCell ref="H247:J247"/>
    <mergeCell ref="K247:M247"/>
    <mergeCell ref="N247:P247"/>
    <mergeCell ref="Q247:S247"/>
    <mergeCell ref="T247:V247"/>
    <mergeCell ref="B247:D247"/>
    <mergeCell ref="E211:G211"/>
    <mergeCell ref="H211:J211"/>
    <mergeCell ref="K211:M211"/>
    <mergeCell ref="N211:P211"/>
    <mergeCell ref="Q211:S211"/>
    <mergeCell ref="T211:V211"/>
    <mergeCell ref="B211:D211"/>
    <mergeCell ref="E223:G223"/>
    <mergeCell ref="H223:J223"/>
    <mergeCell ref="K223:M223"/>
    <mergeCell ref="N223:P223"/>
    <mergeCell ref="Q223:S223"/>
    <mergeCell ref="T223:V223"/>
    <mergeCell ref="B223:D223"/>
    <mergeCell ref="E187:G187"/>
    <mergeCell ref="H187:J187"/>
    <mergeCell ref="K187:M187"/>
    <mergeCell ref="N187:P187"/>
    <mergeCell ref="Q187:S187"/>
    <mergeCell ref="T187:V187"/>
    <mergeCell ref="B187:D187"/>
    <mergeCell ref="E199:G199"/>
    <mergeCell ref="H199:J199"/>
    <mergeCell ref="K199:M199"/>
    <mergeCell ref="N199:P199"/>
    <mergeCell ref="Q199:S199"/>
    <mergeCell ref="T199:V199"/>
    <mergeCell ref="B199:D199"/>
    <mergeCell ref="E163:G163"/>
    <mergeCell ref="H163:J163"/>
    <mergeCell ref="K163:M163"/>
    <mergeCell ref="N163:P163"/>
    <mergeCell ref="Q163:S163"/>
    <mergeCell ref="T163:V163"/>
    <mergeCell ref="B163:D163"/>
    <mergeCell ref="E175:G175"/>
    <mergeCell ref="H175:J175"/>
    <mergeCell ref="K175:M175"/>
    <mergeCell ref="N175:P175"/>
    <mergeCell ref="Q175:S175"/>
    <mergeCell ref="T175:V175"/>
    <mergeCell ref="B175:D175"/>
    <mergeCell ref="E139:G139"/>
    <mergeCell ref="H139:J139"/>
    <mergeCell ref="K139:M139"/>
    <mergeCell ref="N139:P139"/>
    <mergeCell ref="Q139:S139"/>
    <mergeCell ref="T139:V139"/>
    <mergeCell ref="B139:D139"/>
    <mergeCell ref="E151:G151"/>
    <mergeCell ref="H151:J151"/>
    <mergeCell ref="K151:M151"/>
    <mergeCell ref="N151:P151"/>
    <mergeCell ref="Q151:S151"/>
    <mergeCell ref="T151:V151"/>
    <mergeCell ref="B151:D151"/>
    <mergeCell ref="E115:G115"/>
    <mergeCell ref="H115:J115"/>
    <mergeCell ref="K115:M115"/>
    <mergeCell ref="N115:P115"/>
    <mergeCell ref="Q115:S115"/>
    <mergeCell ref="T115:V115"/>
    <mergeCell ref="B115:D115"/>
    <mergeCell ref="E127:G127"/>
    <mergeCell ref="H127:J127"/>
    <mergeCell ref="K127:M127"/>
    <mergeCell ref="N127:P127"/>
    <mergeCell ref="Q127:S127"/>
    <mergeCell ref="T127:V127"/>
    <mergeCell ref="B127:D127"/>
    <mergeCell ref="E91:G91"/>
    <mergeCell ref="H91:J91"/>
    <mergeCell ref="K91:M91"/>
    <mergeCell ref="N91:P91"/>
    <mergeCell ref="Q91:S91"/>
    <mergeCell ref="T91:V91"/>
    <mergeCell ref="B91:D91"/>
    <mergeCell ref="E103:G103"/>
    <mergeCell ref="H103:J103"/>
    <mergeCell ref="K103:M103"/>
    <mergeCell ref="N103:P103"/>
    <mergeCell ref="Q103:S103"/>
    <mergeCell ref="T103:V103"/>
    <mergeCell ref="B103:D103"/>
    <mergeCell ref="B57:D57"/>
    <mergeCell ref="E67:G67"/>
    <mergeCell ref="H67:J67"/>
    <mergeCell ref="K67:M67"/>
    <mergeCell ref="N67:P67"/>
    <mergeCell ref="Q67:S67"/>
    <mergeCell ref="T67:V67"/>
    <mergeCell ref="B67:D67"/>
    <mergeCell ref="E79:G79"/>
    <mergeCell ref="H79:J79"/>
    <mergeCell ref="K79:M79"/>
    <mergeCell ref="N79:P79"/>
    <mergeCell ref="Q79:S79"/>
    <mergeCell ref="T79:V79"/>
    <mergeCell ref="B79:D79"/>
  </mergeCells>
  <hyperlinks>
    <hyperlink ref="B2" r:id="rId1" xr:uid="{00000000-0004-0000-0600-000000000000}"/>
  </hyperlink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1000"/>
  <sheetViews>
    <sheetView zoomScale="85" zoomScaleNormal="85" workbookViewId="0">
      <selection activeCell="B2" sqref="B2:V53"/>
    </sheetView>
  </sheetViews>
  <sheetFormatPr defaultColWidth="14.453125" defaultRowHeight="15" customHeight="1"/>
  <cols>
    <col min="1" max="1" width="4.7265625" customWidth="1"/>
    <col min="2" max="2" width="14.7265625" customWidth="1"/>
    <col min="3" max="3" width="10.54296875" customWidth="1"/>
    <col min="4" max="4" width="10.7265625" customWidth="1"/>
    <col min="5" max="5" width="15.26953125" customWidth="1"/>
    <col min="6" max="6" width="9.7265625" customWidth="1"/>
    <col min="7" max="7" width="10.7265625" customWidth="1"/>
    <col min="8" max="8" width="13.54296875" customWidth="1"/>
    <col min="9" max="9" width="10.26953125" customWidth="1"/>
    <col min="10" max="10" width="10" customWidth="1"/>
    <col min="11" max="11" width="15.81640625" customWidth="1"/>
    <col min="12" max="13" width="10" customWidth="1"/>
    <col min="14" max="14" width="14.7265625" customWidth="1"/>
    <col min="15" max="15" width="9" customWidth="1"/>
    <col min="16" max="16" width="10.26953125" customWidth="1"/>
    <col min="17" max="17" width="14.08984375" customWidth="1"/>
    <col min="18" max="18" width="9.7265625" customWidth="1"/>
    <col min="19" max="19" width="11" customWidth="1"/>
    <col min="20" max="20" width="15.08984375" customWidth="1"/>
    <col min="21" max="21" width="12.81640625" customWidth="1"/>
    <col min="22" max="22" width="10" customWidth="1"/>
    <col min="23" max="23" width="5.81640625" customWidth="1"/>
    <col min="24" max="26" width="8.7265625" customWidth="1"/>
  </cols>
  <sheetData>
    <row r="1" spans="1:23" ht="24.75" customHeight="1">
      <c r="A1" s="5"/>
      <c r="B1" s="5"/>
      <c r="C1" s="5"/>
      <c r="D1" s="5"/>
      <c r="E1" s="5"/>
      <c r="F1" s="5"/>
      <c r="G1" s="5"/>
      <c r="H1" s="5"/>
      <c r="I1" s="5"/>
      <c r="J1" s="5"/>
      <c r="K1" s="5"/>
      <c r="L1" s="5"/>
      <c r="M1" s="5"/>
      <c r="N1" s="5"/>
      <c r="O1" s="5"/>
      <c r="P1" s="5"/>
      <c r="Q1" s="5"/>
      <c r="R1" s="5"/>
      <c r="S1" s="5"/>
      <c r="T1" s="5"/>
      <c r="U1" s="5"/>
      <c r="V1" s="5"/>
      <c r="W1" s="5"/>
    </row>
    <row r="2" spans="1:23" ht="15" customHeight="1">
      <c r="A2" s="5"/>
      <c r="B2" s="184" t="s">
        <v>193</v>
      </c>
      <c r="C2" s="70"/>
      <c r="D2" s="70"/>
      <c r="E2" s="70"/>
      <c r="F2" s="70"/>
      <c r="G2" s="70"/>
      <c r="H2" s="70"/>
      <c r="I2" s="70"/>
      <c r="J2" s="70"/>
      <c r="K2" s="70"/>
      <c r="L2" s="70"/>
      <c r="M2" s="70"/>
      <c r="N2" s="70"/>
      <c r="O2" s="70"/>
      <c r="P2" s="70"/>
      <c r="Q2" s="70"/>
      <c r="R2" s="70"/>
      <c r="S2" s="70"/>
      <c r="T2" s="70"/>
      <c r="U2" s="70"/>
      <c r="V2" s="70"/>
      <c r="W2" s="5"/>
    </row>
    <row r="3" spans="1:23" ht="15" customHeight="1">
      <c r="A3" s="5"/>
      <c r="B3" s="69"/>
      <c r="C3" s="70"/>
      <c r="D3" s="70"/>
      <c r="E3" s="70"/>
      <c r="F3" s="70"/>
      <c r="G3" s="70"/>
      <c r="H3" s="70"/>
      <c r="I3" s="70"/>
      <c r="J3" s="70"/>
      <c r="K3" s="70"/>
      <c r="L3" s="70"/>
      <c r="M3" s="70"/>
      <c r="N3" s="70"/>
      <c r="O3" s="70"/>
      <c r="P3" s="70"/>
      <c r="Q3" s="70"/>
      <c r="R3" s="70"/>
      <c r="S3" s="70"/>
      <c r="T3" s="70"/>
      <c r="U3" s="70"/>
      <c r="V3" s="70"/>
      <c r="W3" s="5"/>
    </row>
    <row r="4" spans="1:23" ht="15" customHeight="1">
      <c r="A4" s="5"/>
      <c r="B4" s="69"/>
      <c r="C4" s="70"/>
      <c r="D4" s="70"/>
      <c r="E4" s="70"/>
      <c r="F4" s="70"/>
      <c r="G4" s="70"/>
      <c r="H4" s="70"/>
      <c r="I4" s="70"/>
      <c r="J4" s="70"/>
      <c r="K4" s="70"/>
      <c r="L4" s="70"/>
      <c r="M4" s="70"/>
      <c r="N4" s="70"/>
      <c r="O4" s="70"/>
      <c r="P4" s="70"/>
      <c r="Q4" s="70"/>
      <c r="R4" s="70"/>
      <c r="S4" s="70"/>
      <c r="T4" s="70"/>
      <c r="U4" s="70"/>
      <c r="V4" s="70"/>
      <c r="W4" s="5"/>
    </row>
    <row r="5" spans="1:23" ht="15" customHeight="1">
      <c r="A5" s="5"/>
      <c r="B5" s="69"/>
      <c r="C5" s="70"/>
      <c r="D5" s="70"/>
      <c r="E5" s="70"/>
      <c r="F5" s="70"/>
      <c r="G5" s="70"/>
      <c r="H5" s="70"/>
      <c r="I5" s="70"/>
      <c r="J5" s="70"/>
      <c r="K5" s="70"/>
      <c r="L5" s="70"/>
      <c r="M5" s="70"/>
      <c r="N5" s="70"/>
      <c r="O5" s="70"/>
      <c r="P5" s="70"/>
      <c r="Q5" s="70"/>
      <c r="R5" s="70"/>
      <c r="S5" s="70"/>
      <c r="T5" s="70"/>
      <c r="U5" s="70"/>
      <c r="V5" s="70"/>
      <c r="W5" s="5"/>
    </row>
    <row r="6" spans="1:23" ht="15" customHeight="1">
      <c r="A6" s="5"/>
      <c r="B6" s="69"/>
      <c r="C6" s="70"/>
      <c r="D6" s="70"/>
      <c r="E6" s="70"/>
      <c r="F6" s="70"/>
      <c r="G6" s="70"/>
      <c r="H6" s="70"/>
      <c r="I6" s="70"/>
      <c r="J6" s="70"/>
      <c r="K6" s="70"/>
      <c r="L6" s="70"/>
      <c r="M6" s="70"/>
      <c r="N6" s="70"/>
      <c r="O6" s="70"/>
      <c r="P6" s="70"/>
      <c r="Q6" s="70"/>
      <c r="R6" s="70"/>
      <c r="S6" s="70"/>
      <c r="T6" s="70"/>
      <c r="U6" s="70"/>
      <c r="V6" s="70"/>
      <c r="W6" s="5"/>
    </row>
    <row r="7" spans="1:23" ht="15" customHeight="1">
      <c r="A7" s="5"/>
      <c r="B7" s="69"/>
      <c r="C7" s="70"/>
      <c r="D7" s="70"/>
      <c r="E7" s="70"/>
      <c r="F7" s="70"/>
      <c r="G7" s="70"/>
      <c r="H7" s="70"/>
      <c r="I7" s="70"/>
      <c r="J7" s="70"/>
      <c r="K7" s="70"/>
      <c r="L7" s="70"/>
      <c r="M7" s="70"/>
      <c r="N7" s="70"/>
      <c r="O7" s="70"/>
      <c r="P7" s="70"/>
      <c r="Q7" s="70"/>
      <c r="R7" s="70"/>
      <c r="S7" s="70"/>
      <c r="T7" s="70"/>
      <c r="U7" s="70"/>
      <c r="V7" s="70"/>
      <c r="W7" s="5"/>
    </row>
    <row r="8" spans="1:23" ht="15" customHeight="1">
      <c r="A8" s="5"/>
      <c r="B8" s="69"/>
      <c r="C8" s="70"/>
      <c r="D8" s="70"/>
      <c r="E8" s="70"/>
      <c r="F8" s="70"/>
      <c r="G8" s="70"/>
      <c r="H8" s="70"/>
      <c r="I8" s="70"/>
      <c r="J8" s="70"/>
      <c r="K8" s="70"/>
      <c r="L8" s="70"/>
      <c r="M8" s="70"/>
      <c r="N8" s="70"/>
      <c r="O8" s="70"/>
      <c r="P8" s="70"/>
      <c r="Q8" s="70"/>
      <c r="R8" s="70"/>
      <c r="S8" s="70"/>
      <c r="T8" s="70"/>
      <c r="U8" s="70"/>
      <c r="V8" s="70"/>
      <c r="W8" s="5"/>
    </row>
    <row r="9" spans="1:23" ht="17.25" customHeight="1">
      <c r="A9" s="5"/>
      <c r="B9" s="69"/>
      <c r="C9" s="70"/>
      <c r="D9" s="70"/>
      <c r="E9" s="70"/>
      <c r="F9" s="70"/>
      <c r="G9" s="70"/>
      <c r="H9" s="70"/>
      <c r="I9" s="70"/>
      <c r="J9" s="70"/>
      <c r="K9" s="70"/>
      <c r="L9" s="70"/>
      <c r="M9" s="70"/>
      <c r="N9" s="70"/>
      <c r="O9" s="70"/>
      <c r="P9" s="70"/>
      <c r="Q9" s="70"/>
      <c r="R9" s="70"/>
      <c r="S9" s="70"/>
      <c r="T9" s="70"/>
      <c r="U9" s="70"/>
      <c r="V9" s="70"/>
      <c r="W9" s="5"/>
    </row>
    <row r="10" spans="1:23" ht="15" customHeight="1">
      <c r="A10" s="5"/>
      <c r="B10" s="69"/>
      <c r="C10" s="70"/>
      <c r="D10" s="70"/>
      <c r="E10" s="70"/>
      <c r="F10" s="70"/>
      <c r="G10" s="70"/>
      <c r="H10" s="70"/>
      <c r="I10" s="70"/>
      <c r="J10" s="70"/>
      <c r="K10" s="70"/>
      <c r="L10" s="70"/>
      <c r="M10" s="70"/>
      <c r="N10" s="70"/>
      <c r="O10" s="70"/>
      <c r="P10" s="70"/>
      <c r="Q10" s="70"/>
      <c r="R10" s="70"/>
      <c r="S10" s="70"/>
      <c r="T10" s="70"/>
      <c r="U10" s="70"/>
      <c r="V10" s="70"/>
      <c r="W10" s="5"/>
    </row>
    <row r="11" spans="1:23" ht="15" customHeight="1">
      <c r="A11" s="5"/>
      <c r="B11" s="69"/>
      <c r="C11" s="70"/>
      <c r="D11" s="70"/>
      <c r="E11" s="70"/>
      <c r="F11" s="70"/>
      <c r="G11" s="70"/>
      <c r="H11" s="70"/>
      <c r="I11" s="70"/>
      <c r="J11" s="70"/>
      <c r="K11" s="70"/>
      <c r="L11" s="70"/>
      <c r="M11" s="70"/>
      <c r="N11" s="70"/>
      <c r="O11" s="70"/>
      <c r="P11" s="70"/>
      <c r="Q11" s="70"/>
      <c r="R11" s="70"/>
      <c r="S11" s="70"/>
      <c r="T11" s="70"/>
      <c r="U11" s="70"/>
      <c r="V11" s="70"/>
      <c r="W11" s="5"/>
    </row>
    <row r="12" spans="1:23" ht="15" customHeight="1">
      <c r="A12" s="5"/>
      <c r="B12" s="69"/>
      <c r="C12" s="70"/>
      <c r="D12" s="70"/>
      <c r="E12" s="70"/>
      <c r="F12" s="70"/>
      <c r="G12" s="70"/>
      <c r="H12" s="70"/>
      <c r="I12" s="70"/>
      <c r="J12" s="70"/>
      <c r="K12" s="70"/>
      <c r="L12" s="70"/>
      <c r="M12" s="70"/>
      <c r="N12" s="70"/>
      <c r="O12" s="70"/>
      <c r="P12" s="70"/>
      <c r="Q12" s="70"/>
      <c r="R12" s="70"/>
      <c r="S12" s="70"/>
      <c r="T12" s="70"/>
      <c r="U12" s="70"/>
      <c r="V12" s="70"/>
      <c r="W12" s="5"/>
    </row>
    <row r="13" spans="1:23" ht="15" customHeight="1">
      <c r="A13" s="5"/>
      <c r="B13" s="69"/>
      <c r="C13" s="70"/>
      <c r="D13" s="70"/>
      <c r="E13" s="70"/>
      <c r="F13" s="70"/>
      <c r="G13" s="70"/>
      <c r="H13" s="70"/>
      <c r="I13" s="70"/>
      <c r="J13" s="70"/>
      <c r="K13" s="70"/>
      <c r="L13" s="70"/>
      <c r="M13" s="70"/>
      <c r="N13" s="70"/>
      <c r="O13" s="70"/>
      <c r="P13" s="70"/>
      <c r="Q13" s="70"/>
      <c r="R13" s="70"/>
      <c r="S13" s="70"/>
      <c r="T13" s="70"/>
      <c r="U13" s="70"/>
      <c r="V13" s="70"/>
      <c r="W13" s="5"/>
    </row>
    <row r="14" spans="1:23" ht="15" customHeight="1">
      <c r="A14" s="5"/>
      <c r="B14" s="69"/>
      <c r="C14" s="70"/>
      <c r="D14" s="70"/>
      <c r="E14" s="70"/>
      <c r="F14" s="70"/>
      <c r="G14" s="70"/>
      <c r="H14" s="70"/>
      <c r="I14" s="70"/>
      <c r="J14" s="70"/>
      <c r="K14" s="70"/>
      <c r="L14" s="70"/>
      <c r="M14" s="70"/>
      <c r="N14" s="70"/>
      <c r="O14" s="70"/>
      <c r="P14" s="70"/>
      <c r="Q14" s="70"/>
      <c r="R14" s="70"/>
      <c r="S14" s="70"/>
      <c r="T14" s="70"/>
      <c r="U14" s="70"/>
      <c r="V14" s="70"/>
      <c r="W14" s="5"/>
    </row>
    <row r="15" spans="1:23" ht="15" customHeight="1">
      <c r="A15" s="5"/>
      <c r="B15" s="69"/>
      <c r="C15" s="70"/>
      <c r="D15" s="70"/>
      <c r="E15" s="70"/>
      <c r="F15" s="70"/>
      <c r="G15" s="70"/>
      <c r="H15" s="70"/>
      <c r="I15" s="70"/>
      <c r="J15" s="70"/>
      <c r="K15" s="70"/>
      <c r="L15" s="70"/>
      <c r="M15" s="70"/>
      <c r="N15" s="70"/>
      <c r="O15" s="70"/>
      <c r="P15" s="70"/>
      <c r="Q15" s="70"/>
      <c r="R15" s="70"/>
      <c r="S15" s="70"/>
      <c r="T15" s="70"/>
      <c r="U15" s="70"/>
      <c r="V15" s="70"/>
      <c r="W15" s="5"/>
    </row>
    <row r="16" spans="1:23" ht="15" customHeight="1">
      <c r="A16" s="5"/>
      <c r="B16" s="69"/>
      <c r="C16" s="70"/>
      <c r="D16" s="70"/>
      <c r="E16" s="70"/>
      <c r="F16" s="70"/>
      <c r="G16" s="70"/>
      <c r="H16" s="70"/>
      <c r="I16" s="70"/>
      <c r="J16" s="70"/>
      <c r="K16" s="70"/>
      <c r="L16" s="70"/>
      <c r="M16" s="70"/>
      <c r="N16" s="70"/>
      <c r="O16" s="70"/>
      <c r="P16" s="70"/>
      <c r="Q16" s="70"/>
      <c r="R16" s="70"/>
      <c r="S16" s="70"/>
      <c r="T16" s="70"/>
      <c r="U16" s="70"/>
      <c r="V16" s="70"/>
      <c r="W16" s="5"/>
    </row>
    <row r="17" spans="1:23" ht="15" customHeight="1">
      <c r="A17" s="5"/>
      <c r="B17" s="69"/>
      <c r="C17" s="70"/>
      <c r="D17" s="70"/>
      <c r="E17" s="70"/>
      <c r="F17" s="70"/>
      <c r="G17" s="70"/>
      <c r="H17" s="70"/>
      <c r="I17" s="70"/>
      <c r="J17" s="70"/>
      <c r="K17" s="70"/>
      <c r="L17" s="70"/>
      <c r="M17" s="70"/>
      <c r="N17" s="70"/>
      <c r="O17" s="70"/>
      <c r="P17" s="70"/>
      <c r="Q17" s="70"/>
      <c r="R17" s="70"/>
      <c r="S17" s="70"/>
      <c r="T17" s="70"/>
      <c r="U17" s="70"/>
      <c r="V17" s="70"/>
      <c r="W17" s="5"/>
    </row>
    <row r="18" spans="1:23" ht="15" customHeight="1">
      <c r="A18" s="5"/>
      <c r="B18" s="69"/>
      <c r="C18" s="70"/>
      <c r="D18" s="70"/>
      <c r="E18" s="70"/>
      <c r="F18" s="70"/>
      <c r="G18" s="70"/>
      <c r="H18" s="70"/>
      <c r="I18" s="70"/>
      <c r="J18" s="70"/>
      <c r="K18" s="70"/>
      <c r="L18" s="70"/>
      <c r="M18" s="70"/>
      <c r="N18" s="70"/>
      <c r="O18" s="70"/>
      <c r="P18" s="70"/>
      <c r="Q18" s="70"/>
      <c r="R18" s="70"/>
      <c r="S18" s="70"/>
      <c r="T18" s="70"/>
      <c r="U18" s="70"/>
      <c r="V18" s="70"/>
      <c r="W18" s="5"/>
    </row>
    <row r="19" spans="1:23" ht="15" customHeight="1">
      <c r="A19" s="5"/>
      <c r="B19" s="69"/>
      <c r="C19" s="70"/>
      <c r="D19" s="70"/>
      <c r="E19" s="70"/>
      <c r="F19" s="70"/>
      <c r="G19" s="70"/>
      <c r="H19" s="70"/>
      <c r="I19" s="70"/>
      <c r="J19" s="70"/>
      <c r="K19" s="70"/>
      <c r="L19" s="70"/>
      <c r="M19" s="70"/>
      <c r="N19" s="70"/>
      <c r="O19" s="70"/>
      <c r="P19" s="70"/>
      <c r="Q19" s="70"/>
      <c r="R19" s="70"/>
      <c r="S19" s="70"/>
      <c r="T19" s="70"/>
      <c r="U19" s="70"/>
      <c r="V19" s="70"/>
      <c r="W19" s="5"/>
    </row>
    <row r="20" spans="1:23" ht="17.25" customHeight="1">
      <c r="A20" s="5"/>
      <c r="B20" s="69"/>
      <c r="C20" s="70"/>
      <c r="D20" s="70"/>
      <c r="E20" s="70"/>
      <c r="F20" s="70"/>
      <c r="G20" s="70"/>
      <c r="H20" s="70"/>
      <c r="I20" s="70"/>
      <c r="J20" s="70"/>
      <c r="K20" s="70"/>
      <c r="L20" s="70"/>
      <c r="M20" s="70"/>
      <c r="N20" s="70"/>
      <c r="O20" s="70"/>
      <c r="P20" s="70"/>
      <c r="Q20" s="70"/>
      <c r="R20" s="70"/>
      <c r="S20" s="70"/>
      <c r="T20" s="70"/>
      <c r="U20" s="70"/>
      <c r="V20" s="70"/>
      <c r="W20" s="5"/>
    </row>
    <row r="21" spans="1:23" ht="15" customHeight="1">
      <c r="A21" s="5"/>
      <c r="B21" s="69"/>
      <c r="C21" s="70"/>
      <c r="D21" s="70"/>
      <c r="E21" s="70"/>
      <c r="F21" s="70"/>
      <c r="G21" s="70"/>
      <c r="H21" s="70"/>
      <c r="I21" s="70"/>
      <c r="J21" s="70"/>
      <c r="K21" s="70"/>
      <c r="L21" s="70"/>
      <c r="M21" s="70"/>
      <c r="N21" s="70"/>
      <c r="O21" s="70"/>
      <c r="P21" s="70"/>
      <c r="Q21" s="70"/>
      <c r="R21" s="70"/>
      <c r="S21" s="70"/>
      <c r="T21" s="70"/>
      <c r="U21" s="70"/>
      <c r="V21" s="70"/>
      <c r="W21" s="5"/>
    </row>
    <row r="22" spans="1:23" ht="15" customHeight="1">
      <c r="A22" s="5"/>
      <c r="B22" s="69"/>
      <c r="C22" s="70"/>
      <c r="D22" s="70"/>
      <c r="E22" s="70"/>
      <c r="F22" s="70"/>
      <c r="G22" s="70"/>
      <c r="H22" s="70"/>
      <c r="I22" s="70"/>
      <c r="J22" s="70"/>
      <c r="K22" s="70"/>
      <c r="L22" s="70"/>
      <c r="M22" s="70"/>
      <c r="N22" s="70"/>
      <c r="O22" s="70"/>
      <c r="P22" s="70"/>
      <c r="Q22" s="70"/>
      <c r="R22" s="70"/>
      <c r="S22" s="70"/>
      <c r="T22" s="70"/>
      <c r="U22" s="70"/>
      <c r="V22" s="70"/>
      <c r="W22" s="5"/>
    </row>
    <row r="23" spans="1:23" ht="15" customHeight="1">
      <c r="A23" s="5"/>
      <c r="B23" s="69"/>
      <c r="C23" s="70"/>
      <c r="D23" s="70"/>
      <c r="E23" s="70"/>
      <c r="F23" s="70"/>
      <c r="G23" s="70"/>
      <c r="H23" s="70"/>
      <c r="I23" s="70"/>
      <c r="J23" s="70"/>
      <c r="K23" s="70"/>
      <c r="L23" s="70"/>
      <c r="M23" s="70"/>
      <c r="N23" s="70"/>
      <c r="O23" s="70"/>
      <c r="P23" s="70"/>
      <c r="Q23" s="70"/>
      <c r="R23" s="70"/>
      <c r="S23" s="70"/>
      <c r="T23" s="70"/>
      <c r="U23" s="70"/>
      <c r="V23" s="70"/>
      <c r="W23" s="5"/>
    </row>
    <row r="24" spans="1:23" ht="15" customHeight="1">
      <c r="A24" s="5"/>
      <c r="B24" s="69"/>
      <c r="C24" s="70"/>
      <c r="D24" s="70"/>
      <c r="E24" s="70"/>
      <c r="F24" s="70"/>
      <c r="G24" s="70"/>
      <c r="H24" s="70"/>
      <c r="I24" s="70"/>
      <c r="J24" s="70"/>
      <c r="K24" s="70"/>
      <c r="L24" s="70"/>
      <c r="M24" s="70"/>
      <c r="N24" s="70"/>
      <c r="O24" s="70"/>
      <c r="P24" s="70"/>
      <c r="Q24" s="70"/>
      <c r="R24" s="70"/>
      <c r="S24" s="70"/>
      <c r="T24" s="70"/>
      <c r="U24" s="70"/>
      <c r="V24" s="70"/>
      <c r="W24" s="5"/>
    </row>
    <row r="25" spans="1:23" ht="15" customHeight="1">
      <c r="A25" s="5"/>
      <c r="B25" s="69"/>
      <c r="C25" s="70"/>
      <c r="D25" s="70"/>
      <c r="E25" s="70"/>
      <c r="F25" s="70"/>
      <c r="G25" s="70"/>
      <c r="H25" s="70"/>
      <c r="I25" s="70"/>
      <c r="J25" s="70"/>
      <c r="K25" s="70"/>
      <c r="L25" s="70"/>
      <c r="M25" s="70"/>
      <c r="N25" s="70"/>
      <c r="O25" s="70"/>
      <c r="P25" s="70"/>
      <c r="Q25" s="70"/>
      <c r="R25" s="70"/>
      <c r="S25" s="70"/>
      <c r="T25" s="70"/>
      <c r="U25" s="70"/>
      <c r="V25" s="70"/>
      <c r="W25" s="5"/>
    </row>
    <row r="26" spans="1:23" ht="15" customHeight="1">
      <c r="A26" s="5"/>
      <c r="B26" s="69"/>
      <c r="C26" s="70"/>
      <c r="D26" s="70"/>
      <c r="E26" s="70"/>
      <c r="F26" s="70"/>
      <c r="G26" s="70"/>
      <c r="H26" s="70"/>
      <c r="I26" s="70"/>
      <c r="J26" s="70"/>
      <c r="K26" s="70"/>
      <c r="L26" s="70"/>
      <c r="M26" s="70"/>
      <c r="N26" s="70"/>
      <c r="O26" s="70"/>
      <c r="P26" s="70"/>
      <c r="Q26" s="70"/>
      <c r="R26" s="70"/>
      <c r="S26" s="70"/>
      <c r="T26" s="70"/>
      <c r="U26" s="70"/>
      <c r="V26" s="70"/>
      <c r="W26" s="5"/>
    </row>
    <row r="27" spans="1:23" ht="15" customHeight="1">
      <c r="A27" s="5"/>
      <c r="B27" s="69"/>
      <c r="C27" s="70"/>
      <c r="D27" s="70"/>
      <c r="E27" s="70"/>
      <c r="F27" s="70"/>
      <c r="G27" s="70"/>
      <c r="H27" s="70"/>
      <c r="I27" s="70"/>
      <c r="J27" s="70"/>
      <c r="K27" s="70"/>
      <c r="L27" s="70"/>
      <c r="M27" s="70"/>
      <c r="N27" s="70"/>
      <c r="O27" s="70"/>
      <c r="P27" s="70"/>
      <c r="Q27" s="70"/>
      <c r="R27" s="70"/>
      <c r="S27" s="70"/>
      <c r="T27" s="70"/>
      <c r="U27" s="70"/>
      <c r="V27" s="70"/>
      <c r="W27" s="5"/>
    </row>
    <row r="28" spans="1:23" ht="15" customHeight="1">
      <c r="A28" s="5"/>
      <c r="B28" s="69"/>
      <c r="C28" s="70"/>
      <c r="D28" s="70"/>
      <c r="E28" s="70"/>
      <c r="F28" s="70"/>
      <c r="G28" s="70"/>
      <c r="H28" s="70"/>
      <c r="I28" s="70"/>
      <c r="J28" s="70"/>
      <c r="K28" s="70"/>
      <c r="L28" s="70"/>
      <c r="M28" s="70"/>
      <c r="N28" s="70"/>
      <c r="O28" s="70"/>
      <c r="P28" s="70"/>
      <c r="Q28" s="70"/>
      <c r="R28" s="70"/>
      <c r="S28" s="70"/>
      <c r="T28" s="70"/>
      <c r="U28" s="70"/>
      <c r="V28" s="70"/>
      <c r="W28" s="5"/>
    </row>
    <row r="29" spans="1:23" ht="15" customHeight="1">
      <c r="A29" s="5"/>
      <c r="B29" s="69"/>
      <c r="C29" s="70"/>
      <c r="D29" s="70"/>
      <c r="E29" s="70"/>
      <c r="F29" s="70"/>
      <c r="G29" s="70"/>
      <c r="H29" s="70"/>
      <c r="I29" s="70"/>
      <c r="J29" s="70"/>
      <c r="K29" s="70"/>
      <c r="L29" s="70"/>
      <c r="M29" s="70"/>
      <c r="N29" s="70"/>
      <c r="O29" s="70"/>
      <c r="P29" s="70"/>
      <c r="Q29" s="70"/>
      <c r="R29" s="70"/>
      <c r="S29" s="70"/>
      <c r="T29" s="70"/>
      <c r="U29" s="70"/>
      <c r="V29" s="70"/>
      <c r="W29" s="5"/>
    </row>
    <row r="30" spans="1:23" ht="15" customHeight="1">
      <c r="A30" s="5"/>
      <c r="B30" s="69"/>
      <c r="C30" s="70"/>
      <c r="D30" s="70"/>
      <c r="E30" s="70"/>
      <c r="F30" s="70"/>
      <c r="G30" s="70"/>
      <c r="H30" s="70"/>
      <c r="I30" s="70"/>
      <c r="J30" s="70"/>
      <c r="K30" s="70"/>
      <c r="L30" s="70"/>
      <c r="M30" s="70"/>
      <c r="N30" s="70"/>
      <c r="O30" s="70"/>
      <c r="P30" s="70"/>
      <c r="Q30" s="70"/>
      <c r="R30" s="70"/>
      <c r="S30" s="70"/>
      <c r="T30" s="70"/>
      <c r="U30" s="70"/>
      <c r="V30" s="70"/>
      <c r="W30" s="5"/>
    </row>
    <row r="31" spans="1:23" ht="17.25" customHeight="1">
      <c r="A31" s="5"/>
      <c r="B31" s="69"/>
      <c r="C31" s="70"/>
      <c r="D31" s="70"/>
      <c r="E31" s="70"/>
      <c r="F31" s="70"/>
      <c r="G31" s="70"/>
      <c r="H31" s="70"/>
      <c r="I31" s="70"/>
      <c r="J31" s="70"/>
      <c r="K31" s="70"/>
      <c r="L31" s="70"/>
      <c r="M31" s="70"/>
      <c r="N31" s="70"/>
      <c r="O31" s="70"/>
      <c r="P31" s="70"/>
      <c r="Q31" s="70"/>
      <c r="R31" s="70"/>
      <c r="S31" s="70"/>
      <c r="T31" s="70"/>
      <c r="U31" s="70"/>
      <c r="V31" s="70"/>
      <c r="W31" s="5"/>
    </row>
    <row r="32" spans="1:23" ht="15" customHeight="1">
      <c r="A32" s="5"/>
      <c r="B32" s="69"/>
      <c r="C32" s="70"/>
      <c r="D32" s="70"/>
      <c r="E32" s="70"/>
      <c r="F32" s="70"/>
      <c r="G32" s="70"/>
      <c r="H32" s="70"/>
      <c r="I32" s="70"/>
      <c r="J32" s="70"/>
      <c r="K32" s="70"/>
      <c r="L32" s="70"/>
      <c r="M32" s="70"/>
      <c r="N32" s="70"/>
      <c r="O32" s="70"/>
      <c r="P32" s="70"/>
      <c r="Q32" s="70"/>
      <c r="R32" s="70"/>
      <c r="S32" s="70"/>
      <c r="T32" s="70"/>
      <c r="U32" s="70"/>
      <c r="V32" s="70"/>
      <c r="W32" s="5"/>
    </row>
    <row r="33" spans="1:23" ht="15" customHeight="1">
      <c r="A33" s="5"/>
      <c r="B33" s="69"/>
      <c r="C33" s="70"/>
      <c r="D33" s="70"/>
      <c r="E33" s="70"/>
      <c r="F33" s="70"/>
      <c r="G33" s="70"/>
      <c r="H33" s="70"/>
      <c r="I33" s="70"/>
      <c r="J33" s="70"/>
      <c r="K33" s="70"/>
      <c r="L33" s="70"/>
      <c r="M33" s="70"/>
      <c r="N33" s="70"/>
      <c r="O33" s="70"/>
      <c r="P33" s="70"/>
      <c r="Q33" s="70"/>
      <c r="R33" s="70"/>
      <c r="S33" s="70"/>
      <c r="T33" s="70"/>
      <c r="U33" s="70"/>
      <c r="V33" s="70"/>
      <c r="W33" s="5"/>
    </row>
    <row r="34" spans="1:23" ht="15" customHeight="1">
      <c r="A34" s="5"/>
      <c r="B34" s="69"/>
      <c r="C34" s="70"/>
      <c r="D34" s="70"/>
      <c r="E34" s="70"/>
      <c r="F34" s="70"/>
      <c r="G34" s="70"/>
      <c r="H34" s="70"/>
      <c r="I34" s="70"/>
      <c r="J34" s="70"/>
      <c r="K34" s="70"/>
      <c r="L34" s="70"/>
      <c r="M34" s="70"/>
      <c r="N34" s="70"/>
      <c r="O34" s="70"/>
      <c r="P34" s="70"/>
      <c r="Q34" s="70"/>
      <c r="R34" s="70"/>
      <c r="S34" s="70"/>
      <c r="T34" s="70"/>
      <c r="U34" s="70"/>
      <c r="V34" s="70"/>
      <c r="W34" s="5"/>
    </row>
    <row r="35" spans="1:23" ht="15" customHeight="1">
      <c r="A35" s="5"/>
      <c r="B35" s="69"/>
      <c r="C35" s="70"/>
      <c r="D35" s="70"/>
      <c r="E35" s="70"/>
      <c r="F35" s="70"/>
      <c r="G35" s="70"/>
      <c r="H35" s="70"/>
      <c r="I35" s="70"/>
      <c r="J35" s="70"/>
      <c r="K35" s="70"/>
      <c r="L35" s="70"/>
      <c r="M35" s="70"/>
      <c r="N35" s="70"/>
      <c r="O35" s="70"/>
      <c r="P35" s="70"/>
      <c r="Q35" s="70"/>
      <c r="R35" s="70"/>
      <c r="S35" s="70"/>
      <c r="T35" s="70"/>
      <c r="U35" s="70"/>
      <c r="V35" s="70"/>
      <c r="W35" s="5"/>
    </row>
    <row r="36" spans="1:23" ht="15" customHeight="1">
      <c r="A36" s="5"/>
      <c r="B36" s="69"/>
      <c r="C36" s="70"/>
      <c r="D36" s="70"/>
      <c r="E36" s="70"/>
      <c r="F36" s="70"/>
      <c r="G36" s="70"/>
      <c r="H36" s="70"/>
      <c r="I36" s="70"/>
      <c r="J36" s="70"/>
      <c r="K36" s="70"/>
      <c r="L36" s="70"/>
      <c r="M36" s="70"/>
      <c r="N36" s="70"/>
      <c r="O36" s="70"/>
      <c r="P36" s="70"/>
      <c r="Q36" s="70"/>
      <c r="R36" s="70"/>
      <c r="S36" s="70"/>
      <c r="T36" s="70"/>
      <c r="U36" s="70"/>
      <c r="V36" s="70"/>
      <c r="W36" s="5"/>
    </row>
    <row r="37" spans="1:23" ht="15" customHeight="1">
      <c r="A37" s="5"/>
      <c r="B37" s="69"/>
      <c r="C37" s="70"/>
      <c r="D37" s="70"/>
      <c r="E37" s="70"/>
      <c r="F37" s="70"/>
      <c r="G37" s="70"/>
      <c r="H37" s="70"/>
      <c r="I37" s="70"/>
      <c r="J37" s="70"/>
      <c r="K37" s="70"/>
      <c r="L37" s="70"/>
      <c r="M37" s="70"/>
      <c r="N37" s="70"/>
      <c r="O37" s="70"/>
      <c r="P37" s="70"/>
      <c r="Q37" s="70"/>
      <c r="R37" s="70"/>
      <c r="S37" s="70"/>
      <c r="T37" s="70"/>
      <c r="U37" s="70"/>
      <c r="V37" s="70"/>
      <c r="W37" s="5"/>
    </row>
    <row r="38" spans="1:23" ht="15" customHeight="1">
      <c r="A38" s="5"/>
      <c r="B38" s="69"/>
      <c r="C38" s="70"/>
      <c r="D38" s="70"/>
      <c r="E38" s="70"/>
      <c r="F38" s="70"/>
      <c r="G38" s="70"/>
      <c r="H38" s="70"/>
      <c r="I38" s="70"/>
      <c r="J38" s="70"/>
      <c r="K38" s="70"/>
      <c r="L38" s="70"/>
      <c r="M38" s="70"/>
      <c r="N38" s="70"/>
      <c r="O38" s="70"/>
      <c r="P38" s="70"/>
      <c r="Q38" s="70"/>
      <c r="R38" s="70"/>
      <c r="S38" s="70"/>
      <c r="T38" s="70"/>
      <c r="U38" s="70"/>
      <c r="V38" s="70"/>
      <c r="W38" s="5"/>
    </row>
    <row r="39" spans="1:23" ht="15" customHeight="1">
      <c r="A39" s="5"/>
      <c r="B39" s="69"/>
      <c r="C39" s="70"/>
      <c r="D39" s="70"/>
      <c r="E39" s="70"/>
      <c r="F39" s="70"/>
      <c r="G39" s="70"/>
      <c r="H39" s="70"/>
      <c r="I39" s="70"/>
      <c r="J39" s="70"/>
      <c r="K39" s="70"/>
      <c r="L39" s="70"/>
      <c r="M39" s="70"/>
      <c r="N39" s="70"/>
      <c r="O39" s="70"/>
      <c r="P39" s="70"/>
      <c r="Q39" s="70"/>
      <c r="R39" s="70"/>
      <c r="S39" s="70"/>
      <c r="T39" s="70"/>
      <c r="U39" s="70"/>
      <c r="V39" s="70"/>
      <c r="W39" s="5"/>
    </row>
    <row r="40" spans="1:23" ht="15" customHeight="1">
      <c r="A40" s="5"/>
      <c r="B40" s="69"/>
      <c r="C40" s="70"/>
      <c r="D40" s="70"/>
      <c r="E40" s="70"/>
      <c r="F40" s="70"/>
      <c r="G40" s="70"/>
      <c r="H40" s="70"/>
      <c r="I40" s="70"/>
      <c r="J40" s="70"/>
      <c r="K40" s="70"/>
      <c r="L40" s="70"/>
      <c r="M40" s="70"/>
      <c r="N40" s="70"/>
      <c r="O40" s="70"/>
      <c r="P40" s="70"/>
      <c r="Q40" s="70"/>
      <c r="R40" s="70"/>
      <c r="S40" s="70"/>
      <c r="T40" s="70"/>
      <c r="U40" s="70"/>
      <c r="V40" s="70"/>
      <c r="W40" s="5"/>
    </row>
    <row r="41" spans="1:23" ht="15" customHeight="1">
      <c r="A41" s="5"/>
      <c r="B41" s="69"/>
      <c r="C41" s="70"/>
      <c r="D41" s="70"/>
      <c r="E41" s="70"/>
      <c r="F41" s="70"/>
      <c r="G41" s="70"/>
      <c r="H41" s="70"/>
      <c r="I41" s="70"/>
      <c r="J41" s="70"/>
      <c r="K41" s="70"/>
      <c r="L41" s="70"/>
      <c r="M41" s="70"/>
      <c r="N41" s="70"/>
      <c r="O41" s="70"/>
      <c r="P41" s="70"/>
      <c r="Q41" s="70"/>
      <c r="R41" s="70"/>
      <c r="S41" s="70"/>
      <c r="T41" s="70"/>
      <c r="U41" s="70"/>
      <c r="V41" s="70"/>
      <c r="W41" s="5"/>
    </row>
    <row r="42" spans="1:23" ht="17.25" customHeight="1">
      <c r="A42" s="5"/>
      <c r="B42" s="69"/>
      <c r="C42" s="70"/>
      <c r="D42" s="70"/>
      <c r="E42" s="70"/>
      <c r="F42" s="70"/>
      <c r="G42" s="70"/>
      <c r="H42" s="70"/>
      <c r="I42" s="70"/>
      <c r="J42" s="70"/>
      <c r="K42" s="70"/>
      <c r="L42" s="70"/>
      <c r="M42" s="70"/>
      <c r="N42" s="70"/>
      <c r="O42" s="70"/>
      <c r="P42" s="70"/>
      <c r="Q42" s="70"/>
      <c r="R42" s="70"/>
      <c r="S42" s="70"/>
      <c r="T42" s="70"/>
      <c r="U42" s="70"/>
      <c r="V42" s="70"/>
      <c r="W42" s="5"/>
    </row>
    <row r="43" spans="1:23" ht="15" customHeight="1">
      <c r="A43" s="5"/>
      <c r="B43" s="69"/>
      <c r="C43" s="70"/>
      <c r="D43" s="70"/>
      <c r="E43" s="70"/>
      <c r="F43" s="70"/>
      <c r="G43" s="70"/>
      <c r="H43" s="70"/>
      <c r="I43" s="70"/>
      <c r="J43" s="70"/>
      <c r="K43" s="70"/>
      <c r="L43" s="70"/>
      <c r="M43" s="70"/>
      <c r="N43" s="70"/>
      <c r="O43" s="70"/>
      <c r="P43" s="70"/>
      <c r="Q43" s="70"/>
      <c r="R43" s="70"/>
      <c r="S43" s="70"/>
      <c r="T43" s="70"/>
      <c r="U43" s="70"/>
      <c r="V43" s="70"/>
      <c r="W43" s="5"/>
    </row>
    <row r="44" spans="1:23" ht="15" customHeight="1">
      <c r="A44" s="5"/>
      <c r="B44" s="69"/>
      <c r="C44" s="70"/>
      <c r="D44" s="70"/>
      <c r="E44" s="70"/>
      <c r="F44" s="70"/>
      <c r="G44" s="70"/>
      <c r="H44" s="70"/>
      <c r="I44" s="70"/>
      <c r="J44" s="70"/>
      <c r="K44" s="70"/>
      <c r="L44" s="70"/>
      <c r="M44" s="70"/>
      <c r="N44" s="70"/>
      <c r="O44" s="70"/>
      <c r="P44" s="70"/>
      <c r="Q44" s="70"/>
      <c r="R44" s="70"/>
      <c r="S44" s="70"/>
      <c r="T44" s="70"/>
      <c r="U44" s="70"/>
      <c r="V44" s="70"/>
      <c r="W44" s="5"/>
    </row>
    <row r="45" spans="1:23" ht="15" customHeight="1">
      <c r="A45" s="5"/>
      <c r="B45" s="69"/>
      <c r="C45" s="70"/>
      <c r="D45" s="70"/>
      <c r="E45" s="70"/>
      <c r="F45" s="70"/>
      <c r="G45" s="70"/>
      <c r="H45" s="70"/>
      <c r="I45" s="70"/>
      <c r="J45" s="70"/>
      <c r="K45" s="70"/>
      <c r="L45" s="70"/>
      <c r="M45" s="70"/>
      <c r="N45" s="70"/>
      <c r="O45" s="70"/>
      <c r="P45" s="70"/>
      <c r="Q45" s="70"/>
      <c r="R45" s="70"/>
      <c r="S45" s="70"/>
      <c r="T45" s="70"/>
      <c r="U45" s="70"/>
      <c r="V45" s="70"/>
      <c r="W45" s="5"/>
    </row>
    <row r="46" spans="1:23" ht="15" customHeight="1">
      <c r="A46" s="5"/>
      <c r="B46" s="69"/>
      <c r="C46" s="70"/>
      <c r="D46" s="70"/>
      <c r="E46" s="70"/>
      <c r="F46" s="70"/>
      <c r="G46" s="70"/>
      <c r="H46" s="70"/>
      <c r="I46" s="70"/>
      <c r="J46" s="70"/>
      <c r="K46" s="70"/>
      <c r="L46" s="70"/>
      <c r="M46" s="70"/>
      <c r="N46" s="70"/>
      <c r="O46" s="70"/>
      <c r="P46" s="70"/>
      <c r="Q46" s="70"/>
      <c r="R46" s="70"/>
      <c r="S46" s="70"/>
      <c r="T46" s="70"/>
      <c r="U46" s="70"/>
      <c r="V46" s="70"/>
      <c r="W46" s="5"/>
    </row>
    <row r="47" spans="1:23" ht="15" customHeight="1">
      <c r="A47" s="5"/>
      <c r="B47" s="69"/>
      <c r="C47" s="70"/>
      <c r="D47" s="70"/>
      <c r="E47" s="70"/>
      <c r="F47" s="70"/>
      <c r="G47" s="70"/>
      <c r="H47" s="70"/>
      <c r="I47" s="70"/>
      <c r="J47" s="70"/>
      <c r="K47" s="70"/>
      <c r="L47" s="70"/>
      <c r="M47" s="70"/>
      <c r="N47" s="70"/>
      <c r="O47" s="70"/>
      <c r="P47" s="70"/>
      <c r="Q47" s="70"/>
      <c r="R47" s="70"/>
      <c r="S47" s="70"/>
      <c r="T47" s="70"/>
      <c r="U47" s="70"/>
      <c r="V47" s="70"/>
      <c r="W47" s="5"/>
    </row>
    <row r="48" spans="1:23" ht="15" customHeight="1">
      <c r="A48" s="5"/>
      <c r="B48" s="69"/>
      <c r="C48" s="70"/>
      <c r="D48" s="70"/>
      <c r="E48" s="70"/>
      <c r="F48" s="70"/>
      <c r="G48" s="70"/>
      <c r="H48" s="70"/>
      <c r="I48" s="70"/>
      <c r="J48" s="70"/>
      <c r="K48" s="70"/>
      <c r="L48" s="70"/>
      <c r="M48" s="70"/>
      <c r="N48" s="70"/>
      <c r="O48" s="70"/>
      <c r="P48" s="70"/>
      <c r="Q48" s="70"/>
      <c r="R48" s="70"/>
      <c r="S48" s="70"/>
      <c r="T48" s="70"/>
      <c r="U48" s="70"/>
      <c r="V48" s="70"/>
      <c r="W48" s="5"/>
    </row>
    <row r="49" spans="1:23" ht="15" customHeight="1">
      <c r="A49" s="5"/>
      <c r="B49" s="69"/>
      <c r="C49" s="70"/>
      <c r="D49" s="70"/>
      <c r="E49" s="70"/>
      <c r="F49" s="70"/>
      <c r="G49" s="70"/>
      <c r="H49" s="70"/>
      <c r="I49" s="70"/>
      <c r="J49" s="70"/>
      <c r="K49" s="70"/>
      <c r="L49" s="70"/>
      <c r="M49" s="70"/>
      <c r="N49" s="70"/>
      <c r="O49" s="70"/>
      <c r="P49" s="70"/>
      <c r="Q49" s="70"/>
      <c r="R49" s="70"/>
      <c r="S49" s="70"/>
      <c r="T49" s="70"/>
      <c r="U49" s="70"/>
      <c r="V49" s="70"/>
      <c r="W49" s="5"/>
    </row>
    <row r="50" spans="1:23" ht="15" customHeight="1">
      <c r="A50" s="5"/>
      <c r="B50" s="69"/>
      <c r="C50" s="70"/>
      <c r="D50" s="70"/>
      <c r="E50" s="70"/>
      <c r="F50" s="70"/>
      <c r="G50" s="70"/>
      <c r="H50" s="70"/>
      <c r="I50" s="70"/>
      <c r="J50" s="70"/>
      <c r="K50" s="70"/>
      <c r="L50" s="70"/>
      <c r="M50" s="70"/>
      <c r="N50" s="70"/>
      <c r="O50" s="70"/>
      <c r="P50" s="70"/>
      <c r="Q50" s="70"/>
      <c r="R50" s="70"/>
      <c r="S50" s="70"/>
      <c r="T50" s="70"/>
      <c r="U50" s="70"/>
      <c r="V50" s="70"/>
      <c r="W50" s="5"/>
    </row>
    <row r="51" spans="1:23" ht="15" customHeight="1">
      <c r="A51" s="5"/>
      <c r="B51" s="69"/>
      <c r="C51" s="70"/>
      <c r="D51" s="70"/>
      <c r="E51" s="70"/>
      <c r="F51" s="70"/>
      <c r="G51" s="70"/>
      <c r="H51" s="70"/>
      <c r="I51" s="70"/>
      <c r="J51" s="70"/>
      <c r="K51" s="70"/>
      <c r="L51" s="70"/>
      <c r="M51" s="70"/>
      <c r="N51" s="70"/>
      <c r="O51" s="70"/>
      <c r="P51" s="70"/>
      <c r="Q51" s="70"/>
      <c r="R51" s="70"/>
      <c r="S51" s="70"/>
      <c r="T51" s="70"/>
      <c r="U51" s="70"/>
      <c r="V51" s="70"/>
      <c r="W51" s="5"/>
    </row>
    <row r="52" spans="1:23" ht="15" customHeight="1">
      <c r="A52" s="5"/>
      <c r="B52" s="69"/>
      <c r="C52" s="70"/>
      <c r="D52" s="70"/>
      <c r="E52" s="70"/>
      <c r="F52" s="70"/>
      <c r="G52" s="70"/>
      <c r="H52" s="70"/>
      <c r="I52" s="70"/>
      <c r="J52" s="70"/>
      <c r="K52" s="70"/>
      <c r="L52" s="70"/>
      <c r="M52" s="70"/>
      <c r="N52" s="70"/>
      <c r="O52" s="70"/>
      <c r="P52" s="70"/>
      <c r="Q52" s="70"/>
      <c r="R52" s="70"/>
      <c r="S52" s="70"/>
      <c r="T52" s="70"/>
      <c r="U52" s="70"/>
      <c r="V52" s="70"/>
      <c r="W52" s="5"/>
    </row>
    <row r="53" spans="1:23" ht="15" customHeight="1">
      <c r="A53" s="5"/>
      <c r="B53" s="71"/>
      <c r="C53" s="72"/>
      <c r="D53" s="72"/>
      <c r="E53" s="72"/>
      <c r="F53" s="72"/>
      <c r="G53" s="72"/>
      <c r="H53" s="72"/>
      <c r="I53" s="72"/>
      <c r="J53" s="72"/>
      <c r="K53" s="72"/>
      <c r="L53" s="72"/>
      <c r="M53" s="72"/>
      <c r="N53" s="72"/>
      <c r="O53" s="72"/>
      <c r="P53" s="72"/>
      <c r="Q53" s="72"/>
      <c r="R53" s="72"/>
      <c r="S53" s="72"/>
      <c r="T53" s="72"/>
      <c r="U53" s="72"/>
      <c r="V53" s="72"/>
      <c r="W53" s="5"/>
    </row>
    <row r="54" spans="1:23" ht="24" customHeight="1">
      <c r="A54" s="5"/>
      <c r="B54" s="5"/>
      <c r="C54" s="5"/>
      <c r="D54" s="5"/>
      <c r="E54" s="5"/>
      <c r="F54" s="5"/>
      <c r="G54" s="5"/>
      <c r="H54" s="5"/>
      <c r="I54" s="5"/>
      <c r="J54" s="5"/>
      <c r="K54" s="5"/>
      <c r="L54" s="5"/>
      <c r="M54" s="5"/>
      <c r="N54" s="5"/>
      <c r="O54" s="5"/>
      <c r="P54" s="5"/>
      <c r="Q54" s="5"/>
      <c r="R54" s="5"/>
      <c r="S54" s="5"/>
      <c r="T54" s="5"/>
      <c r="U54" s="5"/>
      <c r="V54" s="5"/>
      <c r="W54" s="5"/>
    </row>
    <row r="55" spans="1:23" ht="15.75" customHeight="1">
      <c r="A55" s="2"/>
    </row>
    <row r="56" spans="1:23" ht="15.75" customHeight="1">
      <c r="A56" s="2"/>
    </row>
    <row r="57" spans="1:23" ht="15.75" customHeight="1">
      <c r="A57" s="2"/>
    </row>
    <row r="58" spans="1:23" ht="15.75" customHeight="1">
      <c r="A58" s="2"/>
    </row>
    <row r="59" spans="1:23" ht="15.75" customHeight="1">
      <c r="A59" s="2"/>
    </row>
    <row r="60" spans="1:23" ht="15.75" customHeight="1">
      <c r="A60" s="2"/>
    </row>
    <row r="61" spans="1:23" ht="15.75" customHeight="1">
      <c r="A61" s="2"/>
      <c r="I61" s="3" t="s">
        <v>120</v>
      </c>
    </row>
    <row r="62" spans="1:23" ht="15.75" customHeight="1">
      <c r="A62" s="2"/>
    </row>
    <row r="63" spans="1:23" ht="15.75" customHeight="1">
      <c r="A63" s="2"/>
    </row>
    <row r="64" spans="1:23" ht="15.75" customHeight="1">
      <c r="A64" s="2"/>
    </row>
    <row r="65" spans="1:1" ht="15.75" customHeight="1">
      <c r="A65" s="2"/>
    </row>
    <row r="66" spans="1:1" ht="15.75" customHeight="1">
      <c r="A66" s="2"/>
    </row>
    <row r="67" spans="1:1" ht="15.75" customHeight="1">
      <c r="A67" s="2"/>
    </row>
    <row r="68" spans="1:1" ht="15.75" customHeight="1">
      <c r="A68" s="2"/>
    </row>
    <row r="69" spans="1:1" ht="15.75" customHeight="1">
      <c r="A69" s="2"/>
    </row>
    <row r="70" spans="1:1" ht="15.75" customHeight="1">
      <c r="A70" s="2"/>
    </row>
    <row r="71" spans="1:1" ht="15.75" customHeight="1">
      <c r="A71" s="2"/>
    </row>
    <row r="72" spans="1:1" ht="15.75" customHeight="1">
      <c r="A72" s="2"/>
    </row>
    <row r="73" spans="1:1" ht="15.75" customHeight="1">
      <c r="A73" s="2"/>
    </row>
    <row r="74" spans="1:1" ht="15.75" customHeight="1">
      <c r="A74" s="2"/>
    </row>
    <row r="75" spans="1:1" ht="15.75" customHeight="1">
      <c r="A75" s="2"/>
    </row>
    <row r="76" spans="1:1" ht="15.75" customHeight="1">
      <c r="A76" s="2"/>
    </row>
    <row r="77" spans="1:1" ht="15.75" customHeight="1">
      <c r="A77" s="2"/>
    </row>
    <row r="78" spans="1:1" ht="15.75" customHeight="1">
      <c r="A78" s="2"/>
    </row>
    <row r="79" spans="1:1" ht="15.75" customHeight="1">
      <c r="A79" s="2"/>
    </row>
    <row r="80" spans="1:1" ht="15.75" customHeight="1">
      <c r="A80" s="2"/>
    </row>
    <row r="81" spans="1:1" ht="15.75" customHeight="1">
      <c r="A81" s="2"/>
    </row>
    <row r="82" spans="1:1" ht="15.75" customHeight="1">
      <c r="A82" s="2"/>
    </row>
    <row r="83" spans="1:1" ht="15.75" customHeight="1">
      <c r="A83" s="2"/>
    </row>
    <row r="84" spans="1:1" ht="15.75" customHeight="1">
      <c r="A84" s="2"/>
    </row>
    <row r="85" spans="1:1" ht="15.75" customHeight="1">
      <c r="A85" s="2"/>
    </row>
    <row r="86" spans="1:1" ht="15.75" customHeight="1">
      <c r="A86" s="2"/>
    </row>
    <row r="87" spans="1:1" ht="15.75" customHeight="1">
      <c r="A87" s="2"/>
    </row>
    <row r="88" spans="1:1" ht="15.75" customHeight="1">
      <c r="A88" s="2"/>
    </row>
    <row r="89" spans="1:1" ht="15.75" customHeight="1">
      <c r="A89" s="2"/>
    </row>
    <row r="90" spans="1:1" ht="15.75" customHeight="1">
      <c r="A90" s="2"/>
    </row>
    <row r="91" spans="1:1" ht="15.75" customHeight="1">
      <c r="A91" s="2"/>
    </row>
    <row r="92" spans="1:1" ht="15.75" customHeight="1">
      <c r="A92" s="2"/>
    </row>
    <row r="93" spans="1:1" ht="15.75" customHeight="1">
      <c r="A93" s="2"/>
    </row>
    <row r="94" spans="1:1" ht="15.75" customHeight="1">
      <c r="A94" s="2"/>
    </row>
    <row r="95" spans="1:1" ht="15.75" customHeight="1">
      <c r="A95" s="2"/>
    </row>
    <row r="96" spans="1:1" ht="15.75" customHeight="1">
      <c r="A96" s="2"/>
    </row>
    <row r="97" spans="1:1" ht="15.75" customHeight="1">
      <c r="A97" s="2"/>
    </row>
    <row r="98" spans="1:1" ht="15.75" customHeight="1">
      <c r="A98" s="2"/>
    </row>
    <row r="99" spans="1:1" ht="15.75" customHeight="1">
      <c r="A99" s="2"/>
    </row>
    <row r="100" spans="1:1" ht="15.75" customHeight="1">
      <c r="A100" s="2"/>
    </row>
    <row r="101" spans="1:1" ht="15.75" customHeight="1">
      <c r="A101" s="2"/>
    </row>
    <row r="102" spans="1:1" ht="15.75" customHeight="1">
      <c r="A102" s="2"/>
    </row>
    <row r="103" spans="1:1" ht="15.75" customHeight="1">
      <c r="A103" s="2"/>
    </row>
    <row r="104" spans="1:1" ht="15.75" customHeight="1">
      <c r="A104" s="2"/>
    </row>
    <row r="105" spans="1:1" ht="15.75" customHeight="1">
      <c r="A105" s="2"/>
    </row>
    <row r="106" spans="1:1" ht="15.75" customHeight="1">
      <c r="A106" s="2"/>
    </row>
    <row r="107" spans="1:1" ht="15.75" customHeight="1">
      <c r="A107" s="2"/>
    </row>
    <row r="108" spans="1:1" ht="15.75" customHeight="1">
      <c r="A108" s="2"/>
    </row>
    <row r="109" spans="1:1" ht="15.75" customHeight="1">
      <c r="A109" s="2"/>
    </row>
    <row r="110" spans="1:1" ht="15.75" customHeight="1">
      <c r="A110" s="2"/>
    </row>
    <row r="111" spans="1:1" ht="15.75" customHeight="1">
      <c r="A111" s="2"/>
    </row>
    <row r="112" spans="1:1" ht="15.75" customHeight="1">
      <c r="A112" s="2"/>
    </row>
    <row r="113" spans="1:1" ht="15.75" customHeight="1">
      <c r="A113" s="2"/>
    </row>
    <row r="114" spans="1:1" ht="15.75" customHeight="1">
      <c r="A114" s="2"/>
    </row>
    <row r="115" spans="1:1" ht="15.75" customHeight="1">
      <c r="A115" s="2"/>
    </row>
    <row r="116" spans="1:1" ht="15.75" customHeight="1">
      <c r="A116" s="2"/>
    </row>
    <row r="117" spans="1:1" ht="15.75" customHeight="1">
      <c r="A117" s="2"/>
    </row>
    <row r="118" spans="1:1" ht="15.75" customHeight="1">
      <c r="A118" s="2"/>
    </row>
    <row r="119" spans="1:1" ht="15.75" customHeight="1">
      <c r="A119" s="2"/>
    </row>
    <row r="120" spans="1:1" ht="15.75" customHeight="1">
      <c r="A120" s="2"/>
    </row>
    <row r="121" spans="1:1" ht="15.75" customHeight="1">
      <c r="A121" s="2"/>
    </row>
    <row r="122" spans="1:1" ht="15.75" customHeight="1">
      <c r="A122" s="2"/>
    </row>
    <row r="123" spans="1:1" ht="15.75" customHeight="1">
      <c r="A123" s="2"/>
    </row>
    <row r="124" spans="1:1" ht="15.75" customHeight="1">
      <c r="A124" s="2"/>
    </row>
    <row r="125" spans="1:1" ht="15.75" customHeight="1">
      <c r="A125" s="2"/>
    </row>
    <row r="126" spans="1:1" ht="15.75" customHeight="1">
      <c r="A126" s="2"/>
    </row>
    <row r="127" spans="1:1" ht="15.75" customHeight="1">
      <c r="A127" s="2"/>
    </row>
    <row r="128" spans="1:1" ht="15.75" customHeight="1">
      <c r="A128" s="2"/>
    </row>
    <row r="129" spans="1:1" ht="15.75" customHeight="1">
      <c r="A129" s="2"/>
    </row>
    <row r="130" spans="1:1" ht="15.75" customHeight="1">
      <c r="A130" s="2"/>
    </row>
    <row r="131" spans="1:1" ht="15.75" customHeight="1">
      <c r="A131" s="2"/>
    </row>
    <row r="132" spans="1:1" ht="15.75" customHeight="1">
      <c r="A132" s="2"/>
    </row>
    <row r="133" spans="1:1" ht="15.75" customHeight="1">
      <c r="A133" s="2"/>
    </row>
    <row r="134" spans="1:1" ht="15.75" customHeight="1">
      <c r="A134" s="2"/>
    </row>
    <row r="135" spans="1:1" ht="15.75" customHeight="1">
      <c r="A135" s="2"/>
    </row>
    <row r="136" spans="1:1" ht="15.75" customHeight="1">
      <c r="A136" s="2"/>
    </row>
    <row r="137" spans="1:1" ht="15.75" customHeight="1">
      <c r="A137" s="2"/>
    </row>
    <row r="138" spans="1:1" ht="15.75" customHeight="1">
      <c r="A138" s="2"/>
    </row>
    <row r="139" spans="1:1" ht="15.75" customHeight="1">
      <c r="A139" s="2"/>
    </row>
    <row r="140" spans="1:1" ht="15.75" customHeight="1">
      <c r="A140" s="2"/>
    </row>
    <row r="141" spans="1:1" ht="15.75" customHeight="1">
      <c r="A141" s="2"/>
    </row>
    <row r="142" spans="1:1" ht="15.75" customHeight="1">
      <c r="A142" s="2"/>
    </row>
    <row r="143" spans="1:1" ht="15.75" customHeight="1">
      <c r="A143" s="2"/>
    </row>
    <row r="144" spans="1:1" ht="15.75" customHeight="1">
      <c r="A144" s="2"/>
    </row>
    <row r="145" spans="1:1" ht="15.75" customHeight="1">
      <c r="A145" s="2"/>
    </row>
    <row r="146" spans="1:1" ht="15.75" customHeight="1">
      <c r="A146" s="2"/>
    </row>
    <row r="147" spans="1:1" ht="15.75" customHeight="1">
      <c r="A147" s="2"/>
    </row>
    <row r="148" spans="1:1" ht="15.75" customHeight="1">
      <c r="A148" s="2"/>
    </row>
    <row r="149" spans="1:1" ht="15.75" customHeight="1">
      <c r="A149" s="2"/>
    </row>
    <row r="150" spans="1:1" ht="15.75" customHeight="1">
      <c r="A150" s="2"/>
    </row>
    <row r="151" spans="1:1" ht="15.75" customHeight="1">
      <c r="A151" s="2"/>
    </row>
    <row r="152" spans="1:1" ht="15.75" customHeight="1">
      <c r="A152" s="2"/>
    </row>
    <row r="153" spans="1:1" ht="15.75" customHeight="1">
      <c r="A153" s="2"/>
    </row>
    <row r="154" spans="1:1" ht="15.75" customHeight="1">
      <c r="A154" s="2"/>
    </row>
    <row r="155" spans="1:1" ht="15.75" customHeight="1">
      <c r="A155" s="2"/>
    </row>
    <row r="156" spans="1:1" ht="15.75" customHeight="1">
      <c r="A156" s="2"/>
    </row>
    <row r="157" spans="1:1" ht="15.75" customHeight="1">
      <c r="A157" s="2"/>
    </row>
    <row r="158" spans="1:1" ht="15.75" customHeight="1">
      <c r="A158" s="2"/>
    </row>
    <row r="159" spans="1:1" ht="15.75" customHeight="1">
      <c r="A159" s="2"/>
    </row>
    <row r="160" spans="1:1" ht="15.75" customHeight="1">
      <c r="A160" s="2"/>
    </row>
    <row r="161" spans="1:1" ht="15.75" customHeight="1">
      <c r="A161" s="2"/>
    </row>
    <row r="162" spans="1:1" ht="15.75" customHeight="1">
      <c r="A162" s="2"/>
    </row>
    <row r="163" spans="1:1" ht="15.75" customHeight="1">
      <c r="A163" s="2"/>
    </row>
    <row r="164" spans="1:1" ht="15.75" customHeight="1">
      <c r="A164" s="2"/>
    </row>
    <row r="165" spans="1:1" ht="15.75" customHeight="1">
      <c r="A165" s="2"/>
    </row>
    <row r="166" spans="1:1" ht="15.75" customHeight="1">
      <c r="A166" s="2"/>
    </row>
    <row r="167" spans="1:1" ht="15.75" customHeight="1">
      <c r="A167" s="2"/>
    </row>
    <row r="168" spans="1:1" ht="15.75" customHeight="1">
      <c r="A168" s="2"/>
    </row>
    <row r="169" spans="1:1" ht="15.75" customHeight="1">
      <c r="A169" s="2"/>
    </row>
    <row r="170" spans="1:1" ht="15.75" customHeight="1">
      <c r="A170" s="2"/>
    </row>
    <row r="171" spans="1:1" ht="15.75" customHeight="1">
      <c r="A171" s="2"/>
    </row>
    <row r="172" spans="1:1" ht="15.75" customHeight="1">
      <c r="A172" s="2"/>
    </row>
    <row r="173" spans="1:1" ht="15.75" customHeight="1">
      <c r="A173" s="2"/>
    </row>
    <row r="174" spans="1:1" ht="15.75" customHeight="1">
      <c r="A174" s="2"/>
    </row>
    <row r="175" spans="1:1" ht="15.75" customHeight="1">
      <c r="A175" s="2"/>
    </row>
    <row r="176" spans="1:1" ht="15.75" customHeight="1">
      <c r="A176" s="2"/>
    </row>
    <row r="177" spans="1:1" ht="15.75" customHeight="1">
      <c r="A177" s="2"/>
    </row>
    <row r="178" spans="1:1" ht="15.75" customHeight="1">
      <c r="A178" s="2"/>
    </row>
    <row r="179" spans="1:1" ht="15.75" customHeight="1">
      <c r="A179" s="2"/>
    </row>
    <row r="180" spans="1:1" ht="15.75" customHeight="1">
      <c r="A180" s="2"/>
    </row>
    <row r="181" spans="1:1" ht="15.75" customHeight="1">
      <c r="A181" s="2"/>
    </row>
    <row r="182" spans="1:1" ht="15.75" customHeight="1">
      <c r="A182" s="2"/>
    </row>
    <row r="183" spans="1:1" ht="15.75" customHeight="1">
      <c r="A183" s="2"/>
    </row>
    <row r="184" spans="1:1" ht="15.75" customHeight="1">
      <c r="A184" s="2"/>
    </row>
    <row r="185" spans="1:1" ht="15.75" customHeight="1">
      <c r="A185" s="2"/>
    </row>
    <row r="186" spans="1:1" ht="15.75" customHeight="1">
      <c r="A186" s="2"/>
    </row>
    <row r="187" spans="1:1" ht="15.75" customHeight="1">
      <c r="A187" s="2"/>
    </row>
    <row r="188" spans="1:1" ht="15.75" customHeight="1">
      <c r="A188" s="2"/>
    </row>
    <row r="189" spans="1:1" ht="15.75" customHeight="1">
      <c r="A189" s="2"/>
    </row>
    <row r="190" spans="1:1" ht="15.75" customHeight="1">
      <c r="A190" s="2"/>
    </row>
    <row r="191" spans="1:1" ht="15.75" customHeight="1">
      <c r="A191" s="2"/>
    </row>
    <row r="192" spans="1:1" ht="15.75" customHeight="1">
      <c r="A192" s="2"/>
    </row>
    <row r="193" spans="1:1" ht="15.75" customHeight="1">
      <c r="A193" s="2"/>
    </row>
    <row r="194" spans="1:1" ht="15.75" customHeight="1">
      <c r="A194" s="2"/>
    </row>
    <row r="195" spans="1:1" ht="15.75" customHeight="1">
      <c r="A195" s="2"/>
    </row>
    <row r="196" spans="1:1" ht="15.75" customHeight="1">
      <c r="A196" s="2"/>
    </row>
    <row r="197" spans="1:1" ht="15.75" customHeight="1">
      <c r="A197" s="2"/>
    </row>
    <row r="198" spans="1:1" ht="15.75" customHeight="1">
      <c r="A198" s="2"/>
    </row>
    <row r="199" spans="1:1" ht="15.75" customHeight="1">
      <c r="A199" s="2"/>
    </row>
    <row r="200" spans="1:1" ht="15.75" customHeight="1">
      <c r="A200" s="2"/>
    </row>
    <row r="201" spans="1:1" ht="15.75" customHeight="1">
      <c r="A201" s="2"/>
    </row>
    <row r="202" spans="1:1" ht="15.75" customHeight="1">
      <c r="A202" s="2"/>
    </row>
    <row r="203" spans="1:1" ht="15.75" customHeight="1">
      <c r="A203" s="2"/>
    </row>
    <row r="204" spans="1:1" ht="15.75" customHeight="1">
      <c r="A204" s="2"/>
    </row>
    <row r="205" spans="1:1" ht="15.75" customHeight="1">
      <c r="A205" s="2"/>
    </row>
    <row r="206" spans="1:1" ht="15.75" customHeight="1">
      <c r="A206" s="2"/>
    </row>
    <row r="207" spans="1:1" ht="15.75" customHeight="1">
      <c r="A207" s="2"/>
    </row>
    <row r="208" spans="1:1" ht="15.75" customHeight="1">
      <c r="A208" s="2"/>
    </row>
    <row r="209" spans="1:1" ht="15.75" customHeight="1">
      <c r="A209" s="2"/>
    </row>
    <row r="210" spans="1:1" ht="15.75" customHeight="1">
      <c r="A210" s="2"/>
    </row>
    <row r="211" spans="1:1" ht="15.75" customHeight="1">
      <c r="A211" s="2"/>
    </row>
    <row r="212" spans="1:1" ht="15.75" customHeight="1">
      <c r="A212" s="2"/>
    </row>
    <row r="213" spans="1:1" ht="15.75" customHeight="1">
      <c r="A213" s="2"/>
    </row>
    <row r="214" spans="1:1" ht="15.75" customHeight="1">
      <c r="A214" s="2"/>
    </row>
    <row r="215" spans="1:1" ht="15.75" customHeight="1">
      <c r="A215" s="2"/>
    </row>
    <row r="216" spans="1:1" ht="15.75" customHeight="1">
      <c r="A216" s="2"/>
    </row>
    <row r="217" spans="1:1" ht="15.75" customHeight="1">
      <c r="A217" s="2"/>
    </row>
    <row r="218" spans="1:1" ht="15.75" customHeight="1">
      <c r="A218" s="2"/>
    </row>
    <row r="219" spans="1:1" ht="15.75" customHeight="1">
      <c r="A219" s="2"/>
    </row>
    <row r="220" spans="1:1" ht="15.75" customHeight="1">
      <c r="A220" s="2"/>
    </row>
    <row r="221" spans="1:1" ht="15.75" customHeight="1">
      <c r="A221" s="2"/>
    </row>
    <row r="222" spans="1:1" ht="15.75" customHeight="1">
      <c r="A222" s="2"/>
    </row>
    <row r="223" spans="1:1" ht="15.75" customHeight="1">
      <c r="A223" s="2"/>
    </row>
    <row r="224" spans="1:1" ht="15.75" customHeight="1">
      <c r="A224" s="2"/>
    </row>
    <row r="225" spans="1:1" ht="15.75" customHeight="1">
      <c r="A225" s="2"/>
    </row>
    <row r="226" spans="1:1" ht="15.75" customHeight="1">
      <c r="A226" s="2"/>
    </row>
    <row r="227" spans="1:1" ht="15.75" customHeight="1">
      <c r="A227" s="2"/>
    </row>
    <row r="228" spans="1:1" ht="15.75" customHeight="1">
      <c r="A228" s="2"/>
    </row>
    <row r="229" spans="1:1" ht="15.75" customHeight="1">
      <c r="A229" s="2"/>
    </row>
    <row r="230" spans="1:1" ht="15.75" customHeight="1">
      <c r="A230" s="2"/>
    </row>
    <row r="231" spans="1:1" ht="15.75" customHeight="1">
      <c r="A231" s="2"/>
    </row>
    <row r="232" spans="1:1" ht="15.75" customHeight="1">
      <c r="A232" s="2"/>
    </row>
    <row r="233" spans="1:1" ht="15.75" customHeight="1">
      <c r="A233" s="2"/>
    </row>
    <row r="234" spans="1:1" ht="15.75" customHeight="1">
      <c r="A234" s="2"/>
    </row>
    <row r="235" spans="1:1" ht="15.75" customHeight="1">
      <c r="A235" s="2"/>
    </row>
    <row r="236" spans="1:1" ht="15.75" customHeight="1">
      <c r="A236" s="2"/>
    </row>
    <row r="237" spans="1:1" ht="15.75" customHeight="1">
      <c r="A237" s="2"/>
    </row>
    <row r="238" spans="1:1" ht="15.75" customHeight="1">
      <c r="A238" s="2"/>
    </row>
    <row r="239" spans="1:1" ht="15.75" customHeight="1">
      <c r="A239" s="2"/>
    </row>
    <row r="240" spans="1:1" ht="15.75" customHeight="1">
      <c r="A240" s="2"/>
    </row>
    <row r="241" spans="1:1" ht="15.75" customHeight="1">
      <c r="A241" s="2"/>
    </row>
    <row r="242" spans="1:1" ht="15.75" customHeight="1">
      <c r="A242" s="2"/>
    </row>
    <row r="243" spans="1:1" ht="15.75" customHeight="1">
      <c r="A243" s="2"/>
    </row>
    <row r="244" spans="1:1" ht="15.75" customHeight="1">
      <c r="A244" s="2"/>
    </row>
    <row r="245" spans="1:1" ht="15.75" customHeight="1">
      <c r="A245" s="2"/>
    </row>
    <row r="246" spans="1:1" ht="15.75" customHeight="1">
      <c r="A246" s="2"/>
    </row>
    <row r="247" spans="1:1" ht="15.75" customHeight="1">
      <c r="A247" s="2"/>
    </row>
    <row r="248" spans="1:1" ht="15.75" customHeight="1">
      <c r="A248" s="2"/>
    </row>
    <row r="249" spans="1:1" ht="15.75" customHeight="1">
      <c r="A249" s="2"/>
    </row>
    <row r="250" spans="1:1" ht="15.75" customHeight="1">
      <c r="A250" s="2"/>
    </row>
    <row r="251" spans="1:1" ht="15.75" customHeight="1">
      <c r="A251" s="2"/>
    </row>
    <row r="252" spans="1:1" ht="15.75" customHeight="1">
      <c r="A252" s="2"/>
    </row>
    <row r="253" spans="1:1" ht="15.75" customHeight="1">
      <c r="A253" s="2"/>
    </row>
    <row r="254" spans="1:1" ht="15.75" customHeight="1">
      <c r="A254" s="2"/>
    </row>
    <row r="255" spans="1:1" ht="15.75" customHeight="1">
      <c r="A255" s="2"/>
    </row>
    <row r="256" spans="1:1" ht="15.75" customHeight="1">
      <c r="A256" s="2"/>
    </row>
    <row r="257" spans="1:1" ht="15.75" customHeight="1">
      <c r="A257" s="2"/>
    </row>
    <row r="258" spans="1:1" ht="15.75" customHeight="1">
      <c r="A258" s="2"/>
    </row>
    <row r="259" spans="1:1" ht="15.75" customHeight="1">
      <c r="A259" s="2"/>
    </row>
    <row r="260" spans="1:1" ht="15.75" customHeight="1">
      <c r="A260" s="2"/>
    </row>
    <row r="261" spans="1:1" ht="15.75" customHeight="1">
      <c r="A261" s="2"/>
    </row>
    <row r="262" spans="1:1" ht="15.75" customHeight="1">
      <c r="A262" s="2"/>
    </row>
    <row r="263" spans="1:1" ht="15.75" customHeight="1">
      <c r="A263" s="2"/>
    </row>
    <row r="264" spans="1:1" ht="15.75" customHeight="1">
      <c r="A264" s="2"/>
    </row>
    <row r="265" spans="1:1" ht="15.75" customHeight="1">
      <c r="A265" s="2"/>
    </row>
    <row r="266" spans="1:1" ht="15.75" customHeight="1">
      <c r="A266" s="2"/>
    </row>
    <row r="267" spans="1:1" ht="15.75" customHeight="1">
      <c r="A267" s="2"/>
    </row>
    <row r="268" spans="1:1" ht="15.75" customHeight="1">
      <c r="A268" s="2"/>
    </row>
    <row r="269" spans="1:1" ht="15.75" customHeight="1">
      <c r="A269" s="2"/>
    </row>
    <row r="270" spans="1:1" ht="15.75" customHeight="1">
      <c r="A270" s="2"/>
    </row>
    <row r="271" spans="1:1" ht="15.75" customHeight="1">
      <c r="A271" s="2"/>
    </row>
    <row r="272" spans="1:1" ht="15.75" customHeight="1">
      <c r="A272" s="2"/>
    </row>
    <row r="273" spans="1:1" ht="15.75" customHeight="1">
      <c r="A273" s="2"/>
    </row>
    <row r="274" spans="1:1" ht="15.75" customHeight="1">
      <c r="A274" s="2"/>
    </row>
    <row r="275" spans="1:1" ht="15.75" customHeight="1">
      <c r="A275" s="2"/>
    </row>
    <row r="276" spans="1:1" ht="15.75" customHeight="1">
      <c r="A276" s="2"/>
    </row>
    <row r="277" spans="1:1" ht="15.75" customHeight="1">
      <c r="A277" s="2"/>
    </row>
    <row r="278" spans="1:1" ht="15.75" customHeight="1">
      <c r="A278" s="2"/>
    </row>
    <row r="279" spans="1:1" ht="15.75" customHeight="1">
      <c r="A279" s="2"/>
    </row>
    <row r="280" spans="1:1" ht="15.75" customHeight="1">
      <c r="A280" s="2"/>
    </row>
    <row r="281" spans="1:1" ht="15.75" customHeight="1">
      <c r="A281" s="2"/>
    </row>
    <row r="282" spans="1:1" ht="15.75" customHeight="1">
      <c r="A282" s="2"/>
    </row>
    <row r="283" spans="1:1" ht="15.75" customHeight="1">
      <c r="A283" s="2"/>
    </row>
    <row r="284" spans="1:1" ht="15.75" customHeight="1">
      <c r="A284" s="2"/>
    </row>
    <row r="285" spans="1:1" ht="15.75" customHeight="1">
      <c r="A285" s="2"/>
    </row>
    <row r="286" spans="1:1" ht="15.75" customHeight="1">
      <c r="A286" s="2"/>
    </row>
    <row r="287" spans="1:1" ht="15.75" customHeight="1">
      <c r="A287" s="2"/>
    </row>
    <row r="288" spans="1:1" ht="15.75" customHeight="1">
      <c r="A288" s="2"/>
    </row>
    <row r="289" spans="1:1" ht="15.75" customHeight="1">
      <c r="A289" s="2"/>
    </row>
    <row r="290" spans="1:1" ht="15.75" customHeight="1">
      <c r="A290" s="2"/>
    </row>
    <row r="291" spans="1:1" ht="15.75" customHeight="1">
      <c r="A291" s="2"/>
    </row>
    <row r="292" spans="1:1" ht="15.75" customHeight="1">
      <c r="A292" s="2"/>
    </row>
    <row r="293" spans="1:1" ht="15.75" customHeight="1">
      <c r="A293" s="2"/>
    </row>
    <row r="294" spans="1:1" ht="15.75" customHeight="1">
      <c r="A294" s="2"/>
    </row>
    <row r="295" spans="1:1" ht="15.75" customHeight="1">
      <c r="A295" s="2"/>
    </row>
    <row r="296" spans="1:1" ht="15.75" customHeight="1">
      <c r="A296" s="2"/>
    </row>
    <row r="297" spans="1:1" ht="15.75" customHeight="1">
      <c r="A297" s="2"/>
    </row>
    <row r="298" spans="1:1" ht="15.75" customHeight="1">
      <c r="A298" s="2"/>
    </row>
    <row r="299" spans="1:1" ht="15.75" customHeight="1">
      <c r="A299" s="2"/>
    </row>
    <row r="300" spans="1:1" ht="15.75" customHeight="1">
      <c r="A300" s="2"/>
    </row>
    <row r="301" spans="1:1" ht="15.75" customHeight="1">
      <c r="A301" s="2"/>
    </row>
    <row r="302" spans="1:1" ht="15.75" customHeight="1">
      <c r="A302" s="2"/>
    </row>
    <row r="303" spans="1:1" ht="15.75" customHeight="1">
      <c r="A303" s="2"/>
    </row>
    <row r="304" spans="1:1" ht="15.75" customHeight="1">
      <c r="A304" s="2"/>
    </row>
    <row r="305" spans="1:1" ht="15.75" customHeight="1">
      <c r="A305" s="2"/>
    </row>
    <row r="306" spans="1:1" ht="15.75" customHeight="1">
      <c r="A306" s="2"/>
    </row>
    <row r="307" spans="1:1" ht="15.75" customHeight="1">
      <c r="A307" s="2"/>
    </row>
    <row r="308" spans="1:1" ht="15.75" customHeight="1">
      <c r="A308" s="2"/>
    </row>
    <row r="309" spans="1:1" ht="15.75" customHeight="1">
      <c r="A309" s="2"/>
    </row>
    <row r="310" spans="1:1" ht="15.75" customHeight="1">
      <c r="A310" s="2"/>
    </row>
    <row r="311" spans="1:1" ht="15.75" customHeight="1">
      <c r="A311" s="2"/>
    </row>
    <row r="312" spans="1:1" ht="15.75" customHeight="1">
      <c r="A312" s="2"/>
    </row>
    <row r="313" spans="1:1" ht="15.75" customHeight="1">
      <c r="A313" s="2"/>
    </row>
    <row r="314" spans="1:1" ht="15.75" customHeight="1">
      <c r="A314" s="2"/>
    </row>
    <row r="315" spans="1:1" ht="15.75" customHeight="1">
      <c r="A315" s="2"/>
    </row>
    <row r="316" spans="1:1" ht="15.75" customHeight="1">
      <c r="A316" s="2"/>
    </row>
    <row r="317" spans="1:1" ht="15.75" customHeight="1">
      <c r="A317" s="2"/>
    </row>
    <row r="318" spans="1:1" ht="15.75" customHeight="1">
      <c r="A318" s="2"/>
    </row>
    <row r="319" spans="1:1" ht="15.75" customHeight="1">
      <c r="A319" s="2"/>
    </row>
    <row r="320" spans="1:1" ht="15.75" customHeight="1">
      <c r="A320" s="2"/>
    </row>
    <row r="321" spans="1:1" ht="15.75" customHeight="1">
      <c r="A321" s="2"/>
    </row>
    <row r="322" spans="1:1" ht="15.75" customHeight="1">
      <c r="A322" s="2"/>
    </row>
    <row r="323" spans="1:1" ht="15.75" customHeight="1">
      <c r="A323" s="2"/>
    </row>
    <row r="324" spans="1:1" ht="15.75" customHeight="1">
      <c r="A324" s="2"/>
    </row>
    <row r="325" spans="1:1" ht="15.75" customHeight="1">
      <c r="A325" s="2"/>
    </row>
    <row r="326" spans="1:1" ht="15.75" customHeight="1">
      <c r="A326" s="2"/>
    </row>
    <row r="327" spans="1:1" ht="15.75" customHeight="1">
      <c r="A327" s="2"/>
    </row>
    <row r="328" spans="1:1" ht="15.75" customHeight="1">
      <c r="A328" s="2"/>
    </row>
    <row r="329" spans="1:1" ht="15.75" customHeight="1">
      <c r="A329" s="2"/>
    </row>
    <row r="330" spans="1:1" ht="15.75" customHeight="1">
      <c r="A330" s="2"/>
    </row>
    <row r="331" spans="1:1" ht="15.75" customHeight="1">
      <c r="A331" s="2"/>
    </row>
    <row r="332" spans="1:1" ht="15.75" customHeight="1">
      <c r="A332" s="2"/>
    </row>
    <row r="333" spans="1:1" ht="15.75" customHeight="1">
      <c r="A333" s="2"/>
    </row>
    <row r="334" spans="1:1" ht="15.75" customHeight="1">
      <c r="A334" s="2"/>
    </row>
    <row r="335" spans="1:1" ht="15.75" customHeight="1">
      <c r="A335" s="2"/>
    </row>
    <row r="336" spans="1:1" ht="15.75" customHeight="1">
      <c r="A336" s="2"/>
    </row>
    <row r="337" spans="1:1" ht="15.75" customHeight="1">
      <c r="A337" s="2"/>
    </row>
    <row r="338" spans="1:1" ht="15.75" customHeight="1">
      <c r="A338" s="2"/>
    </row>
    <row r="339" spans="1:1" ht="15.75" customHeight="1">
      <c r="A339" s="2"/>
    </row>
    <row r="340" spans="1:1" ht="15.75" customHeight="1">
      <c r="A340" s="2"/>
    </row>
    <row r="341" spans="1:1" ht="15.75" customHeight="1">
      <c r="A341" s="2"/>
    </row>
    <row r="342" spans="1:1" ht="15.75" customHeight="1">
      <c r="A342" s="2"/>
    </row>
    <row r="343" spans="1:1" ht="15.75" customHeight="1">
      <c r="A343" s="2"/>
    </row>
    <row r="344" spans="1:1" ht="15.75" customHeight="1">
      <c r="A344" s="2"/>
    </row>
    <row r="345" spans="1:1" ht="15.75" customHeight="1">
      <c r="A345" s="2"/>
    </row>
    <row r="346" spans="1:1" ht="15.75" customHeight="1">
      <c r="A346" s="2"/>
    </row>
    <row r="347" spans="1:1" ht="15.75" customHeight="1">
      <c r="A347" s="2"/>
    </row>
    <row r="348" spans="1:1" ht="15.75" customHeight="1">
      <c r="A348" s="2"/>
    </row>
    <row r="349" spans="1:1" ht="15.75" customHeight="1">
      <c r="A349" s="2"/>
    </row>
    <row r="350" spans="1:1" ht="15.75" customHeight="1">
      <c r="A350" s="2"/>
    </row>
    <row r="351" spans="1:1" ht="15.75" customHeight="1">
      <c r="A351" s="2"/>
    </row>
    <row r="352" spans="1:1" ht="15.75" customHeight="1">
      <c r="A352" s="2"/>
    </row>
    <row r="353" spans="1:1" ht="15.75" customHeight="1">
      <c r="A353" s="2"/>
    </row>
    <row r="354" spans="1:1" ht="15.75" customHeight="1">
      <c r="A354" s="2"/>
    </row>
    <row r="355" spans="1:1" ht="15.75" customHeight="1">
      <c r="A355" s="2"/>
    </row>
    <row r="356" spans="1:1" ht="15.75" customHeight="1">
      <c r="A356" s="2"/>
    </row>
    <row r="357" spans="1:1" ht="15.75" customHeight="1">
      <c r="A357" s="2"/>
    </row>
    <row r="358" spans="1:1" ht="15.75" customHeight="1">
      <c r="A358" s="2"/>
    </row>
    <row r="359" spans="1:1" ht="15.75" customHeight="1">
      <c r="A359" s="2"/>
    </row>
    <row r="360" spans="1:1" ht="15.75" customHeight="1">
      <c r="A360" s="2"/>
    </row>
    <row r="361" spans="1:1" ht="15.75" customHeight="1">
      <c r="A361" s="2"/>
    </row>
    <row r="362" spans="1:1" ht="15.75" customHeight="1">
      <c r="A362" s="2"/>
    </row>
    <row r="363" spans="1:1" ht="15.75" customHeight="1">
      <c r="A363" s="2"/>
    </row>
    <row r="364" spans="1:1" ht="15.75" customHeight="1">
      <c r="A364" s="2"/>
    </row>
    <row r="365" spans="1:1" ht="15.75" customHeight="1">
      <c r="A365" s="2"/>
    </row>
    <row r="366" spans="1:1" ht="15.75" customHeight="1">
      <c r="A366" s="2"/>
    </row>
    <row r="367" spans="1:1" ht="15.75" customHeight="1">
      <c r="A367" s="2"/>
    </row>
    <row r="368" spans="1:1" ht="15.75" customHeight="1">
      <c r="A368" s="2"/>
    </row>
    <row r="369" spans="1:1" ht="15.75" customHeight="1">
      <c r="A369" s="2"/>
    </row>
    <row r="370" spans="1:1" ht="15.75" customHeight="1">
      <c r="A370" s="2"/>
    </row>
    <row r="371" spans="1:1" ht="15.75" customHeight="1">
      <c r="A371" s="2"/>
    </row>
    <row r="372" spans="1:1" ht="15.75" customHeight="1">
      <c r="A372" s="2"/>
    </row>
    <row r="373" spans="1:1" ht="15.75" customHeight="1">
      <c r="A373" s="2"/>
    </row>
    <row r="374" spans="1:1" ht="15.75" customHeight="1">
      <c r="A374" s="2"/>
    </row>
    <row r="375" spans="1:1" ht="15.75" customHeight="1">
      <c r="A375" s="2"/>
    </row>
    <row r="376" spans="1:1" ht="15.75" customHeight="1">
      <c r="A376" s="2"/>
    </row>
    <row r="377" spans="1:1" ht="15.75" customHeight="1">
      <c r="A377" s="2"/>
    </row>
    <row r="378" spans="1:1" ht="15.75" customHeight="1">
      <c r="A378" s="2"/>
    </row>
    <row r="379" spans="1:1" ht="15.75" customHeight="1">
      <c r="A379" s="2"/>
    </row>
    <row r="380" spans="1:1" ht="15.75" customHeight="1">
      <c r="A380" s="2"/>
    </row>
    <row r="381" spans="1:1" ht="15.75" customHeight="1">
      <c r="A381" s="2"/>
    </row>
    <row r="382" spans="1:1" ht="15.75" customHeight="1">
      <c r="A382" s="2"/>
    </row>
    <row r="383" spans="1:1" ht="15.75" customHeight="1">
      <c r="A383" s="2"/>
    </row>
    <row r="384" spans="1:1" ht="15.75" customHeight="1">
      <c r="A384" s="2"/>
    </row>
    <row r="385" spans="1:1" ht="15.75" customHeight="1">
      <c r="A385" s="2"/>
    </row>
    <row r="386" spans="1:1" ht="15.75" customHeight="1">
      <c r="A386" s="2"/>
    </row>
    <row r="387" spans="1:1" ht="15.75" customHeight="1">
      <c r="A387" s="2"/>
    </row>
    <row r="388" spans="1:1" ht="15.75" customHeight="1">
      <c r="A388" s="2"/>
    </row>
    <row r="389" spans="1:1" ht="15.75" customHeight="1">
      <c r="A389" s="2"/>
    </row>
    <row r="390" spans="1:1" ht="15.75" customHeight="1">
      <c r="A390" s="2"/>
    </row>
    <row r="391" spans="1:1" ht="15.75" customHeight="1">
      <c r="A391" s="2"/>
    </row>
    <row r="392" spans="1:1" ht="15.75" customHeight="1">
      <c r="A392" s="2"/>
    </row>
    <row r="393" spans="1:1" ht="15.75" customHeight="1">
      <c r="A393" s="2"/>
    </row>
    <row r="394" spans="1:1" ht="15.75" customHeight="1">
      <c r="A394" s="2"/>
    </row>
    <row r="395" spans="1:1" ht="15.75" customHeight="1">
      <c r="A395" s="2"/>
    </row>
    <row r="396" spans="1:1" ht="15.75" customHeight="1">
      <c r="A396" s="2"/>
    </row>
    <row r="397" spans="1:1" ht="15.75" customHeight="1">
      <c r="A397" s="2"/>
    </row>
    <row r="398" spans="1:1" ht="15.75" customHeight="1">
      <c r="A398" s="2"/>
    </row>
    <row r="399" spans="1:1" ht="15.75" customHeight="1">
      <c r="A399" s="2"/>
    </row>
    <row r="400" spans="1:1" ht="15.75" customHeight="1">
      <c r="A400" s="2"/>
    </row>
    <row r="401" spans="1:1" ht="15.75" customHeight="1">
      <c r="A401" s="2"/>
    </row>
    <row r="402" spans="1:1" ht="15.75" customHeight="1">
      <c r="A402" s="2"/>
    </row>
    <row r="403" spans="1:1" ht="15.75" customHeight="1">
      <c r="A403" s="2"/>
    </row>
    <row r="404" spans="1:1" ht="15.75" customHeight="1">
      <c r="A404" s="2"/>
    </row>
    <row r="405" spans="1:1" ht="15.75" customHeight="1">
      <c r="A405" s="2"/>
    </row>
    <row r="406" spans="1:1" ht="15.75" customHeight="1">
      <c r="A406" s="2"/>
    </row>
    <row r="407" spans="1:1" ht="15.75" customHeight="1">
      <c r="A407" s="2"/>
    </row>
    <row r="408" spans="1:1" ht="15.75" customHeight="1">
      <c r="A408" s="2"/>
    </row>
    <row r="409" spans="1:1" ht="15.75" customHeight="1">
      <c r="A409" s="2"/>
    </row>
    <row r="410" spans="1:1" ht="15.75" customHeight="1">
      <c r="A410" s="2"/>
    </row>
    <row r="411" spans="1:1" ht="15.75" customHeight="1">
      <c r="A411" s="2"/>
    </row>
    <row r="412" spans="1:1" ht="15.75" customHeight="1">
      <c r="A412" s="2"/>
    </row>
    <row r="413" spans="1:1" ht="15.75" customHeight="1">
      <c r="A413" s="2"/>
    </row>
    <row r="414" spans="1:1" ht="15.75" customHeight="1">
      <c r="A414" s="2"/>
    </row>
    <row r="415" spans="1:1" ht="15.75" customHeight="1">
      <c r="A415" s="2"/>
    </row>
    <row r="416" spans="1:1" ht="15.75" customHeight="1">
      <c r="A416" s="2"/>
    </row>
    <row r="417" spans="1:1" ht="15.75" customHeight="1">
      <c r="A417" s="2"/>
    </row>
    <row r="418" spans="1:1" ht="15.75" customHeight="1">
      <c r="A418" s="2"/>
    </row>
    <row r="419" spans="1:1" ht="15.75" customHeight="1">
      <c r="A419" s="2"/>
    </row>
    <row r="420" spans="1:1" ht="15.75" customHeight="1">
      <c r="A420" s="2"/>
    </row>
    <row r="421" spans="1:1" ht="15.75" customHeight="1">
      <c r="A421" s="2"/>
    </row>
    <row r="422" spans="1:1" ht="15.75" customHeight="1">
      <c r="A422" s="2"/>
    </row>
    <row r="423" spans="1:1" ht="15.75" customHeight="1">
      <c r="A423" s="2"/>
    </row>
    <row r="424" spans="1:1" ht="15.75" customHeight="1">
      <c r="A424" s="2"/>
    </row>
    <row r="425" spans="1:1" ht="15.75" customHeight="1">
      <c r="A425" s="2"/>
    </row>
    <row r="426" spans="1:1" ht="15.75" customHeight="1">
      <c r="A426" s="2"/>
    </row>
    <row r="427" spans="1:1" ht="15.75" customHeight="1">
      <c r="A427" s="2"/>
    </row>
    <row r="428" spans="1:1" ht="15.75" customHeight="1">
      <c r="A428" s="2"/>
    </row>
    <row r="429" spans="1:1" ht="15.75" customHeight="1">
      <c r="A429" s="2"/>
    </row>
    <row r="430" spans="1:1" ht="15.75" customHeight="1">
      <c r="A430" s="2"/>
    </row>
    <row r="431" spans="1:1" ht="15.75" customHeight="1">
      <c r="A431" s="2"/>
    </row>
    <row r="432" spans="1:1" ht="15.75" customHeight="1">
      <c r="A432" s="2"/>
    </row>
    <row r="433" spans="1:1" ht="15.75" customHeight="1">
      <c r="A433" s="2"/>
    </row>
    <row r="434" spans="1:1" ht="15.75" customHeight="1">
      <c r="A434" s="2"/>
    </row>
    <row r="435" spans="1:1" ht="15.75" customHeight="1">
      <c r="A435" s="2"/>
    </row>
    <row r="436" spans="1:1" ht="15.75" customHeight="1">
      <c r="A436" s="2"/>
    </row>
    <row r="437" spans="1:1" ht="15.75" customHeight="1">
      <c r="A437" s="2"/>
    </row>
    <row r="438" spans="1:1" ht="15.75" customHeight="1">
      <c r="A438" s="2"/>
    </row>
    <row r="439" spans="1:1" ht="15.75" customHeight="1">
      <c r="A439" s="2"/>
    </row>
    <row r="440" spans="1:1" ht="15.75" customHeight="1">
      <c r="A440" s="2"/>
    </row>
    <row r="441" spans="1:1" ht="15.75" customHeight="1">
      <c r="A441" s="2"/>
    </row>
    <row r="442" spans="1:1" ht="15.75" customHeight="1">
      <c r="A442" s="2"/>
    </row>
    <row r="443" spans="1:1" ht="15.75" customHeight="1">
      <c r="A443" s="2"/>
    </row>
    <row r="444" spans="1:1" ht="15.75" customHeight="1">
      <c r="A444" s="2"/>
    </row>
    <row r="445" spans="1:1" ht="15.75" customHeight="1">
      <c r="A445" s="2"/>
    </row>
    <row r="446" spans="1:1" ht="15.75" customHeight="1">
      <c r="A446" s="2"/>
    </row>
    <row r="447" spans="1:1" ht="15.75" customHeight="1">
      <c r="A447" s="2"/>
    </row>
    <row r="448" spans="1:1" ht="15.75" customHeight="1">
      <c r="A448" s="2"/>
    </row>
    <row r="449" spans="1:1" ht="15.75" customHeight="1">
      <c r="A449" s="2"/>
    </row>
    <row r="450" spans="1:1" ht="15.75" customHeight="1">
      <c r="A450" s="2"/>
    </row>
    <row r="451" spans="1:1" ht="15.75" customHeight="1">
      <c r="A451" s="2"/>
    </row>
    <row r="452" spans="1:1" ht="15.75" customHeight="1">
      <c r="A452" s="2"/>
    </row>
    <row r="453" spans="1:1" ht="15.75" customHeight="1">
      <c r="A453" s="2"/>
    </row>
    <row r="454" spans="1:1" ht="15.75" customHeight="1">
      <c r="A454" s="2"/>
    </row>
    <row r="455" spans="1:1" ht="15.75" customHeight="1">
      <c r="A455" s="2"/>
    </row>
    <row r="456" spans="1:1" ht="15.75" customHeight="1">
      <c r="A456" s="2"/>
    </row>
    <row r="457" spans="1:1" ht="15.75" customHeight="1">
      <c r="A457" s="2"/>
    </row>
    <row r="458" spans="1:1" ht="15.75" customHeight="1">
      <c r="A458" s="2"/>
    </row>
    <row r="459" spans="1:1" ht="15.75" customHeight="1">
      <c r="A459" s="2"/>
    </row>
    <row r="460" spans="1:1" ht="15.75" customHeight="1">
      <c r="A460" s="2"/>
    </row>
    <row r="461" spans="1:1" ht="15.75" customHeight="1">
      <c r="A461" s="2"/>
    </row>
    <row r="462" spans="1:1" ht="15.75" customHeight="1">
      <c r="A462" s="2"/>
    </row>
    <row r="463" spans="1:1" ht="15.75" customHeight="1">
      <c r="A463" s="2"/>
    </row>
    <row r="464" spans="1:1" ht="15.75" customHeight="1">
      <c r="A464" s="2"/>
    </row>
    <row r="465" spans="1:1" ht="15.75" customHeight="1">
      <c r="A465" s="2"/>
    </row>
    <row r="466" spans="1:1" ht="15.75" customHeight="1">
      <c r="A466" s="2"/>
    </row>
    <row r="467" spans="1:1" ht="15.75" customHeight="1">
      <c r="A467" s="2"/>
    </row>
    <row r="468" spans="1:1" ht="15.75" customHeight="1">
      <c r="A468" s="2"/>
    </row>
    <row r="469" spans="1:1" ht="15.75" customHeight="1">
      <c r="A469" s="2"/>
    </row>
    <row r="470" spans="1:1" ht="15.75" customHeight="1">
      <c r="A470" s="2"/>
    </row>
    <row r="471" spans="1:1" ht="15.75" customHeight="1">
      <c r="A471" s="2"/>
    </row>
    <row r="472" spans="1:1" ht="15.75" customHeight="1">
      <c r="A472" s="2"/>
    </row>
    <row r="473" spans="1:1" ht="15.75" customHeight="1">
      <c r="A473" s="2"/>
    </row>
    <row r="474" spans="1:1" ht="15.75" customHeight="1">
      <c r="A474" s="2"/>
    </row>
    <row r="475" spans="1:1" ht="15.75" customHeight="1">
      <c r="A475" s="2"/>
    </row>
    <row r="476" spans="1:1" ht="15.75" customHeight="1">
      <c r="A476" s="2"/>
    </row>
    <row r="477" spans="1:1" ht="15.75" customHeight="1">
      <c r="A477" s="2"/>
    </row>
    <row r="478" spans="1:1" ht="15.75" customHeight="1">
      <c r="A478" s="2"/>
    </row>
    <row r="479" spans="1:1" ht="15.75" customHeight="1">
      <c r="A479" s="2"/>
    </row>
    <row r="480" spans="1:1" ht="15.75" customHeight="1">
      <c r="A480" s="2"/>
    </row>
    <row r="481" spans="1:1" ht="15.75" customHeight="1">
      <c r="A481" s="2"/>
    </row>
    <row r="482" spans="1:1" ht="15.75" customHeight="1">
      <c r="A482" s="2"/>
    </row>
    <row r="483" spans="1:1" ht="15.75" customHeight="1">
      <c r="A483" s="2"/>
    </row>
    <row r="484" spans="1:1" ht="15.75" customHeight="1">
      <c r="A484" s="2"/>
    </row>
    <row r="485" spans="1:1" ht="15.75" customHeight="1">
      <c r="A485" s="2"/>
    </row>
    <row r="486" spans="1:1" ht="15.75" customHeight="1">
      <c r="A486" s="2"/>
    </row>
    <row r="487" spans="1:1" ht="15.75" customHeight="1">
      <c r="A487" s="2"/>
    </row>
    <row r="488" spans="1:1" ht="15.75" customHeight="1">
      <c r="A488" s="2"/>
    </row>
    <row r="489" spans="1:1" ht="15.75" customHeight="1">
      <c r="A489" s="2"/>
    </row>
    <row r="490" spans="1:1" ht="15.75" customHeight="1">
      <c r="A490" s="2"/>
    </row>
    <row r="491" spans="1:1" ht="15.75" customHeight="1">
      <c r="A491" s="2"/>
    </row>
    <row r="492" spans="1:1" ht="15.75" customHeight="1">
      <c r="A492" s="2"/>
    </row>
    <row r="493" spans="1:1" ht="15.75" customHeight="1">
      <c r="A493" s="2"/>
    </row>
    <row r="494" spans="1:1" ht="15.75" customHeight="1">
      <c r="A494" s="2"/>
    </row>
    <row r="495" spans="1:1" ht="15.75" customHeight="1">
      <c r="A495" s="2"/>
    </row>
    <row r="496" spans="1:1" ht="15.75" customHeight="1">
      <c r="A496" s="2"/>
    </row>
    <row r="497" spans="1:1" ht="15.75" customHeight="1">
      <c r="A497" s="2"/>
    </row>
    <row r="498" spans="1:1" ht="15.75" customHeight="1">
      <c r="A498" s="2"/>
    </row>
    <row r="499" spans="1:1" ht="15.75" customHeight="1">
      <c r="A499" s="2"/>
    </row>
    <row r="500" spans="1:1" ht="15.75" customHeight="1">
      <c r="A500" s="2"/>
    </row>
    <row r="501" spans="1:1" ht="15.75" customHeight="1">
      <c r="A501" s="2"/>
    </row>
    <row r="502" spans="1:1" ht="15.75" customHeight="1">
      <c r="A502" s="2"/>
    </row>
    <row r="503" spans="1:1" ht="15.75" customHeight="1">
      <c r="A503" s="2"/>
    </row>
    <row r="504" spans="1:1" ht="15.75" customHeight="1">
      <c r="A504" s="2"/>
    </row>
    <row r="505" spans="1:1" ht="15.75" customHeight="1">
      <c r="A505" s="2"/>
    </row>
    <row r="506" spans="1:1" ht="15.75" customHeight="1">
      <c r="A506" s="2"/>
    </row>
    <row r="507" spans="1:1" ht="15.75" customHeight="1">
      <c r="A507" s="2"/>
    </row>
    <row r="508" spans="1:1" ht="15.75" customHeight="1">
      <c r="A508" s="2"/>
    </row>
    <row r="509" spans="1:1" ht="15.75" customHeight="1">
      <c r="A509" s="2"/>
    </row>
    <row r="510" spans="1:1" ht="15.75" customHeight="1">
      <c r="A510" s="2"/>
    </row>
    <row r="511" spans="1:1" ht="15.75" customHeight="1">
      <c r="A511" s="2"/>
    </row>
    <row r="512" spans="1:1" ht="15.75" customHeight="1">
      <c r="A512" s="2"/>
    </row>
    <row r="513" spans="1:1" ht="15.75" customHeight="1">
      <c r="A513" s="2"/>
    </row>
    <row r="514" spans="1:1" ht="15.75" customHeight="1">
      <c r="A514" s="2"/>
    </row>
    <row r="515" spans="1:1" ht="15.75" customHeight="1">
      <c r="A515" s="2"/>
    </row>
    <row r="516" spans="1:1" ht="15.75" customHeight="1">
      <c r="A516" s="2"/>
    </row>
    <row r="517" spans="1:1" ht="15.75" customHeight="1">
      <c r="A517" s="2"/>
    </row>
    <row r="518" spans="1:1" ht="15.75" customHeight="1">
      <c r="A518" s="2"/>
    </row>
    <row r="519" spans="1:1" ht="15.75" customHeight="1">
      <c r="A519" s="2"/>
    </row>
    <row r="520" spans="1:1" ht="15.75" customHeight="1">
      <c r="A520" s="2"/>
    </row>
    <row r="521" spans="1:1" ht="15.75" customHeight="1">
      <c r="A521" s="2"/>
    </row>
    <row r="522" spans="1:1" ht="15.75" customHeight="1">
      <c r="A522" s="2"/>
    </row>
    <row r="523" spans="1:1" ht="15.75" customHeight="1">
      <c r="A523" s="2"/>
    </row>
    <row r="524" spans="1:1" ht="15.75" customHeight="1">
      <c r="A524" s="2"/>
    </row>
    <row r="525" spans="1:1" ht="15.75" customHeight="1">
      <c r="A525" s="2"/>
    </row>
    <row r="526" spans="1:1" ht="15.75" customHeight="1">
      <c r="A526" s="2"/>
    </row>
    <row r="527" spans="1:1" ht="15.75" customHeight="1">
      <c r="A527" s="2"/>
    </row>
    <row r="528" spans="1:1" ht="15.75" customHeight="1">
      <c r="A528" s="2"/>
    </row>
    <row r="529" spans="1:1" ht="15.75" customHeight="1">
      <c r="A529" s="2"/>
    </row>
    <row r="530" spans="1:1" ht="15.75" customHeight="1">
      <c r="A530" s="2"/>
    </row>
    <row r="531" spans="1:1" ht="15.75" customHeight="1">
      <c r="A531" s="2"/>
    </row>
    <row r="532" spans="1:1" ht="15.75" customHeight="1">
      <c r="A532" s="2"/>
    </row>
    <row r="533" spans="1:1" ht="15.75" customHeight="1">
      <c r="A533" s="2"/>
    </row>
    <row r="534" spans="1:1" ht="15.75" customHeight="1">
      <c r="A534" s="2"/>
    </row>
    <row r="535" spans="1:1" ht="15.75" customHeight="1">
      <c r="A535" s="2"/>
    </row>
    <row r="536" spans="1:1" ht="15.75" customHeight="1">
      <c r="A536" s="2"/>
    </row>
    <row r="537" spans="1:1" ht="15.75" customHeight="1">
      <c r="A537" s="2"/>
    </row>
    <row r="538" spans="1:1" ht="15.75" customHeight="1">
      <c r="A538" s="2"/>
    </row>
    <row r="539" spans="1:1" ht="15.75" customHeight="1">
      <c r="A539" s="2"/>
    </row>
    <row r="540" spans="1:1" ht="15.75" customHeight="1">
      <c r="A540" s="2"/>
    </row>
    <row r="541" spans="1:1" ht="15.75" customHeight="1">
      <c r="A541" s="2"/>
    </row>
    <row r="542" spans="1:1" ht="15.75" customHeight="1">
      <c r="A542" s="2"/>
    </row>
    <row r="543" spans="1:1" ht="15.75" customHeight="1">
      <c r="A543" s="2"/>
    </row>
    <row r="544" spans="1:1" ht="15.75" customHeight="1">
      <c r="A544" s="2"/>
    </row>
    <row r="545" spans="1:1" ht="15.75" customHeight="1">
      <c r="A545" s="2"/>
    </row>
    <row r="546" spans="1:1" ht="15.75" customHeight="1">
      <c r="A546" s="2"/>
    </row>
    <row r="547" spans="1:1" ht="15.75" customHeight="1">
      <c r="A547" s="2"/>
    </row>
    <row r="548" spans="1:1" ht="15.75" customHeight="1">
      <c r="A548" s="2"/>
    </row>
    <row r="549" spans="1:1" ht="15.75" customHeight="1">
      <c r="A549" s="2"/>
    </row>
    <row r="550" spans="1:1" ht="15.75" customHeight="1">
      <c r="A550" s="2"/>
    </row>
    <row r="551" spans="1:1" ht="15.75" customHeight="1">
      <c r="A551" s="2"/>
    </row>
    <row r="552" spans="1:1" ht="15.75" customHeight="1">
      <c r="A552" s="2"/>
    </row>
    <row r="553" spans="1:1" ht="15.75" customHeight="1">
      <c r="A553" s="2"/>
    </row>
    <row r="554" spans="1:1" ht="15.75" customHeight="1">
      <c r="A554" s="2"/>
    </row>
    <row r="555" spans="1:1" ht="15.75" customHeight="1">
      <c r="A555" s="2"/>
    </row>
    <row r="556" spans="1:1" ht="15.75" customHeight="1">
      <c r="A556" s="2"/>
    </row>
    <row r="557" spans="1:1" ht="15.75" customHeight="1">
      <c r="A557" s="2"/>
    </row>
    <row r="558" spans="1:1" ht="15.75" customHeight="1">
      <c r="A558" s="2"/>
    </row>
    <row r="559" spans="1:1" ht="15.75" customHeight="1">
      <c r="A559" s="2"/>
    </row>
    <row r="560" spans="1:1" ht="15.75" customHeight="1">
      <c r="A560" s="2"/>
    </row>
    <row r="561" spans="1:1" ht="15.75" customHeight="1">
      <c r="A561" s="2"/>
    </row>
    <row r="562" spans="1:1" ht="15.75" customHeight="1">
      <c r="A562" s="2"/>
    </row>
    <row r="563" spans="1:1" ht="15.75" customHeight="1">
      <c r="A563" s="2"/>
    </row>
    <row r="564" spans="1:1" ht="15.75" customHeight="1">
      <c r="A564" s="2"/>
    </row>
    <row r="565" spans="1:1" ht="15.75" customHeight="1">
      <c r="A565" s="2"/>
    </row>
    <row r="566" spans="1:1" ht="15.75" customHeight="1">
      <c r="A566" s="2"/>
    </row>
    <row r="567" spans="1:1" ht="15.75" customHeight="1">
      <c r="A567" s="2"/>
    </row>
    <row r="568" spans="1:1" ht="15.75" customHeight="1">
      <c r="A568" s="2"/>
    </row>
    <row r="569" spans="1:1" ht="15.75" customHeight="1">
      <c r="A569" s="2"/>
    </row>
    <row r="570" spans="1:1" ht="15.75" customHeight="1">
      <c r="A570" s="2"/>
    </row>
    <row r="571" spans="1:1" ht="15.75" customHeight="1">
      <c r="A571" s="2"/>
    </row>
    <row r="572" spans="1:1" ht="15.75" customHeight="1">
      <c r="A572" s="2"/>
    </row>
    <row r="573" spans="1:1" ht="15.75" customHeight="1">
      <c r="A573" s="2"/>
    </row>
    <row r="574" spans="1:1" ht="15.75" customHeight="1">
      <c r="A574" s="2"/>
    </row>
    <row r="575" spans="1:1" ht="15.75" customHeight="1">
      <c r="A575" s="2"/>
    </row>
    <row r="576" spans="1:1" ht="15.75" customHeight="1">
      <c r="A576" s="2"/>
    </row>
    <row r="577" spans="1:1" ht="15.75" customHeight="1">
      <c r="A577" s="2"/>
    </row>
    <row r="578" spans="1:1" ht="15.75" customHeight="1">
      <c r="A578" s="2"/>
    </row>
    <row r="579" spans="1:1" ht="15.75" customHeight="1">
      <c r="A579" s="2"/>
    </row>
    <row r="580" spans="1:1" ht="15.75" customHeight="1">
      <c r="A580" s="2"/>
    </row>
    <row r="581" spans="1:1" ht="15.75" customHeight="1">
      <c r="A581" s="2"/>
    </row>
    <row r="582" spans="1:1" ht="15.75" customHeight="1">
      <c r="A582" s="2"/>
    </row>
    <row r="583" spans="1:1" ht="15.75" customHeight="1">
      <c r="A583" s="2"/>
    </row>
    <row r="584" spans="1:1" ht="15.75" customHeight="1">
      <c r="A584" s="2"/>
    </row>
    <row r="585" spans="1:1" ht="15.75" customHeight="1">
      <c r="A585" s="2"/>
    </row>
    <row r="586" spans="1:1" ht="15.75" customHeight="1">
      <c r="A586" s="2"/>
    </row>
    <row r="587" spans="1:1" ht="15.75" customHeight="1">
      <c r="A587" s="2"/>
    </row>
    <row r="588" spans="1:1" ht="15.75" customHeight="1">
      <c r="A588" s="2"/>
    </row>
    <row r="589" spans="1:1" ht="15.75" customHeight="1">
      <c r="A589" s="2"/>
    </row>
    <row r="590" spans="1:1" ht="15.75" customHeight="1">
      <c r="A590" s="2"/>
    </row>
    <row r="591" spans="1:1" ht="15.75" customHeight="1">
      <c r="A591" s="2"/>
    </row>
    <row r="592" spans="1:1" ht="15.75" customHeight="1">
      <c r="A592" s="2"/>
    </row>
    <row r="593" spans="1:1" ht="15.75" customHeight="1">
      <c r="A593" s="2"/>
    </row>
    <row r="594" spans="1:1" ht="15.75" customHeight="1">
      <c r="A594" s="2"/>
    </row>
    <row r="595" spans="1:1" ht="15.75" customHeight="1">
      <c r="A595" s="2"/>
    </row>
    <row r="596" spans="1:1" ht="15.75" customHeight="1">
      <c r="A596" s="2"/>
    </row>
    <row r="597" spans="1:1" ht="15.75" customHeight="1">
      <c r="A597" s="2"/>
    </row>
    <row r="598" spans="1:1" ht="15.75" customHeight="1">
      <c r="A598" s="2"/>
    </row>
    <row r="599" spans="1:1" ht="15.75" customHeight="1">
      <c r="A599" s="2"/>
    </row>
    <row r="600" spans="1:1" ht="15.75" customHeight="1">
      <c r="A600" s="2"/>
    </row>
    <row r="601" spans="1:1" ht="15.75" customHeight="1">
      <c r="A601" s="2"/>
    </row>
    <row r="602" spans="1:1" ht="15.75" customHeight="1">
      <c r="A602" s="2"/>
    </row>
    <row r="603" spans="1:1" ht="15.75" customHeight="1">
      <c r="A603" s="2"/>
    </row>
    <row r="604" spans="1:1" ht="15.75" customHeight="1">
      <c r="A604" s="2"/>
    </row>
    <row r="605" spans="1:1" ht="15.75" customHeight="1">
      <c r="A605" s="2"/>
    </row>
    <row r="606" spans="1:1" ht="15.75" customHeight="1">
      <c r="A606" s="2"/>
    </row>
    <row r="607" spans="1:1" ht="15.75" customHeight="1">
      <c r="A607" s="2"/>
    </row>
    <row r="608" spans="1:1" ht="15.75" customHeight="1">
      <c r="A608" s="2"/>
    </row>
    <row r="609" spans="1:1" ht="15.75" customHeight="1">
      <c r="A609" s="2"/>
    </row>
    <row r="610" spans="1:1" ht="15.75" customHeight="1">
      <c r="A610" s="2"/>
    </row>
    <row r="611" spans="1:1" ht="15.75" customHeight="1">
      <c r="A611" s="2"/>
    </row>
    <row r="612" spans="1:1" ht="15.75" customHeight="1">
      <c r="A612" s="2"/>
    </row>
    <row r="613" spans="1:1" ht="15.75" customHeight="1">
      <c r="A613" s="2"/>
    </row>
    <row r="614" spans="1:1" ht="15.75" customHeight="1">
      <c r="A614" s="2"/>
    </row>
    <row r="615" spans="1:1" ht="15.75" customHeight="1">
      <c r="A615" s="2"/>
    </row>
    <row r="616" spans="1:1" ht="15.75" customHeight="1">
      <c r="A616" s="2"/>
    </row>
    <row r="617" spans="1:1" ht="15.75" customHeight="1">
      <c r="A617" s="2"/>
    </row>
    <row r="618" spans="1:1" ht="15.75" customHeight="1">
      <c r="A618" s="2"/>
    </row>
    <row r="619" spans="1:1" ht="15.75" customHeight="1">
      <c r="A619" s="2"/>
    </row>
    <row r="620" spans="1:1" ht="15.75" customHeight="1">
      <c r="A620" s="2"/>
    </row>
    <row r="621" spans="1:1" ht="15.75" customHeight="1">
      <c r="A621" s="2"/>
    </row>
    <row r="622" spans="1:1" ht="15.75" customHeight="1">
      <c r="A622" s="2"/>
    </row>
    <row r="623" spans="1:1" ht="15.75" customHeight="1">
      <c r="A623" s="2"/>
    </row>
    <row r="624" spans="1:1" ht="15.75" customHeight="1">
      <c r="A624" s="2"/>
    </row>
    <row r="625" spans="1:1" ht="15.75" customHeight="1">
      <c r="A625" s="2"/>
    </row>
    <row r="626" spans="1:1" ht="15.75" customHeight="1">
      <c r="A626" s="2"/>
    </row>
    <row r="627" spans="1:1" ht="15.75" customHeight="1">
      <c r="A627" s="2"/>
    </row>
    <row r="628" spans="1:1" ht="15.75" customHeight="1">
      <c r="A628" s="2"/>
    </row>
    <row r="629" spans="1:1" ht="15.75" customHeight="1">
      <c r="A629" s="2"/>
    </row>
    <row r="630" spans="1:1" ht="15.75" customHeight="1">
      <c r="A630" s="2"/>
    </row>
    <row r="631" spans="1:1" ht="15.75" customHeight="1">
      <c r="A631" s="2"/>
    </row>
    <row r="632" spans="1:1" ht="15.75" customHeight="1">
      <c r="A632" s="2"/>
    </row>
    <row r="633" spans="1:1" ht="15.75" customHeight="1">
      <c r="A633" s="2"/>
    </row>
    <row r="634" spans="1:1" ht="15.75" customHeight="1">
      <c r="A634" s="2"/>
    </row>
    <row r="635" spans="1:1" ht="15.75" customHeight="1">
      <c r="A635" s="2"/>
    </row>
    <row r="636" spans="1:1" ht="15.75" customHeight="1">
      <c r="A636" s="2"/>
    </row>
    <row r="637" spans="1:1" ht="15.75" customHeight="1">
      <c r="A637" s="2"/>
    </row>
    <row r="638" spans="1:1" ht="15.75" customHeight="1">
      <c r="A638" s="2"/>
    </row>
    <row r="639" spans="1:1" ht="15.75" customHeight="1">
      <c r="A639" s="2"/>
    </row>
    <row r="640" spans="1:1" ht="15.75" customHeight="1">
      <c r="A640" s="2"/>
    </row>
    <row r="641" spans="1:1" ht="15.75" customHeight="1">
      <c r="A641" s="2"/>
    </row>
    <row r="642" spans="1:1" ht="15.75" customHeight="1">
      <c r="A642" s="2"/>
    </row>
    <row r="643" spans="1:1" ht="15.75" customHeight="1">
      <c r="A643" s="2"/>
    </row>
    <row r="644" spans="1:1" ht="15.75" customHeight="1">
      <c r="A644" s="2"/>
    </row>
    <row r="645" spans="1:1" ht="15.75" customHeight="1">
      <c r="A645" s="2"/>
    </row>
    <row r="646" spans="1:1" ht="15.75" customHeight="1">
      <c r="A646" s="2"/>
    </row>
    <row r="647" spans="1:1" ht="15.75" customHeight="1">
      <c r="A647" s="2"/>
    </row>
    <row r="648" spans="1:1" ht="15.75" customHeight="1">
      <c r="A648" s="2"/>
    </row>
    <row r="649" spans="1:1" ht="15.75" customHeight="1">
      <c r="A649" s="2"/>
    </row>
    <row r="650" spans="1:1" ht="15.75" customHeight="1">
      <c r="A650" s="2"/>
    </row>
    <row r="651" spans="1:1" ht="15.75" customHeight="1">
      <c r="A651" s="2"/>
    </row>
    <row r="652" spans="1:1" ht="15.75" customHeight="1">
      <c r="A652" s="2"/>
    </row>
    <row r="653" spans="1:1" ht="15.75" customHeight="1">
      <c r="A653" s="2"/>
    </row>
    <row r="654" spans="1:1" ht="15.75" customHeight="1">
      <c r="A654" s="2"/>
    </row>
    <row r="655" spans="1:1" ht="15.75" customHeight="1">
      <c r="A655" s="2"/>
    </row>
    <row r="656" spans="1:1" ht="15.75" customHeight="1">
      <c r="A656" s="2"/>
    </row>
    <row r="657" spans="1:1" ht="15.75" customHeight="1">
      <c r="A657" s="2"/>
    </row>
    <row r="658" spans="1:1" ht="15.75" customHeight="1">
      <c r="A658" s="2"/>
    </row>
    <row r="659" spans="1:1" ht="15.75" customHeight="1">
      <c r="A659" s="2"/>
    </row>
    <row r="660" spans="1:1" ht="15.75" customHeight="1">
      <c r="A660" s="2"/>
    </row>
    <row r="661" spans="1:1" ht="15.75" customHeight="1">
      <c r="A661" s="2"/>
    </row>
    <row r="662" spans="1:1" ht="15.75" customHeight="1">
      <c r="A662" s="2"/>
    </row>
    <row r="663" spans="1:1" ht="15.75" customHeight="1">
      <c r="A663" s="2"/>
    </row>
    <row r="664" spans="1:1" ht="15.75" customHeight="1">
      <c r="A664" s="2"/>
    </row>
    <row r="665" spans="1:1" ht="15.75" customHeight="1">
      <c r="A665" s="2"/>
    </row>
    <row r="666" spans="1:1" ht="15.75" customHeight="1">
      <c r="A666" s="2"/>
    </row>
    <row r="667" spans="1:1" ht="15.75" customHeight="1">
      <c r="A667" s="2"/>
    </row>
    <row r="668" spans="1:1" ht="15.75" customHeight="1">
      <c r="A668" s="2"/>
    </row>
    <row r="669" spans="1:1" ht="15.75" customHeight="1">
      <c r="A669" s="2"/>
    </row>
    <row r="670" spans="1:1" ht="15.75" customHeight="1">
      <c r="A670" s="2"/>
    </row>
    <row r="671" spans="1:1" ht="15.75" customHeight="1">
      <c r="A671" s="2"/>
    </row>
    <row r="672" spans="1:1" ht="15.75" customHeight="1">
      <c r="A672" s="2"/>
    </row>
    <row r="673" spans="1:1" ht="15.75" customHeight="1">
      <c r="A673" s="2"/>
    </row>
    <row r="674" spans="1:1" ht="15.75" customHeight="1">
      <c r="A674" s="2"/>
    </row>
    <row r="675" spans="1:1" ht="15.75" customHeight="1">
      <c r="A675" s="2"/>
    </row>
    <row r="676" spans="1:1" ht="15.75" customHeight="1">
      <c r="A676" s="2"/>
    </row>
    <row r="677" spans="1:1" ht="15.75" customHeight="1">
      <c r="A677" s="2"/>
    </row>
    <row r="678" spans="1:1" ht="15.75" customHeight="1">
      <c r="A678" s="2"/>
    </row>
    <row r="679" spans="1:1" ht="15.75" customHeight="1">
      <c r="A679" s="2"/>
    </row>
    <row r="680" spans="1:1" ht="15.75" customHeight="1">
      <c r="A680" s="2"/>
    </row>
    <row r="681" spans="1:1" ht="15.75" customHeight="1">
      <c r="A681" s="2"/>
    </row>
    <row r="682" spans="1:1" ht="15.75" customHeight="1">
      <c r="A682" s="2"/>
    </row>
    <row r="683" spans="1:1" ht="15.75" customHeight="1">
      <c r="A683" s="2"/>
    </row>
    <row r="684" spans="1:1" ht="15.75" customHeight="1">
      <c r="A684" s="2"/>
    </row>
    <row r="685" spans="1:1" ht="15.75" customHeight="1">
      <c r="A685" s="2"/>
    </row>
    <row r="686" spans="1:1" ht="15.75" customHeight="1">
      <c r="A686" s="2"/>
    </row>
    <row r="687" spans="1:1" ht="15.75" customHeight="1">
      <c r="A687" s="2"/>
    </row>
    <row r="688" spans="1:1" ht="15.75" customHeight="1">
      <c r="A688" s="2"/>
    </row>
    <row r="689" spans="1:1" ht="15.75" customHeight="1">
      <c r="A689" s="2"/>
    </row>
    <row r="690" spans="1:1" ht="15.75" customHeight="1">
      <c r="A690" s="2"/>
    </row>
    <row r="691" spans="1:1" ht="15.75" customHeight="1">
      <c r="A691" s="2"/>
    </row>
    <row r="692" spans="1:1" ht="15.75" customHeight="1">
      <c r="A692" s="2"/>
    </row>
    <row r="693" spans="1:1" ht="15.75" customHeight="1">
      <c r="A693" s="2"/>
    </row>
    <row r="694" spans="1:1" ht="15.75" customHeight="1">
      <c r="A694" s="2"/>
    </row>
    <row r="695" spans="1:1" ht="15.75" customHeight="1">
      <c r="A695" s="2"/>
    </row>
    <row r="696" spans="1:1" ht="15.75" customHeight="1">
      <c r="A696" s="2"/>
    </row>
    <row r="697" spans="1:1" ht="15.75" customHeight="1">
      <c r="A697" s="2"/>
    </row>
    <row r="698" spans="1:1" ht="15.75" customHeight="1">
      <c r="A698" s="2"/>
    </row>
    <row r="699" spans="1:1" ht="15.75" customHeight="1">
      <c r="A699" s="2"/>
    </row>
    <row r="700" spans="1:1" ht="15.75" customHeight="1">
      <c r="A700" s="2"/>
    </row>
    <row r="701" spans="1:1" ht="15.75" customHeight="1">
      <c r="A701" s="2"/>
    </row>
    <row r="702" spans="1:1" ht="15.75" customHeight="1">
      <c r="A702" s="2"/>
    </row>
    <row r="703" spans="1:1" ht="15.75" customHeight="1">
      <c r="A703" s="2"/>
    </row>
    <row r="704" spans="1:1" ht="15.75" customHeight="1">
      <c r="A704" s="2"/>
    </row>
    <row r="705" spans="1:1" ht="15.75" customHeight="1">
      <c r="A705" s="2"/>
    </row>
    <row r="706" spans="1:1" ht="15.75" customHeight="1">
      <c r="A706" s="2"/>
    </row>
    <row r="707" spans="1:1" ht="15.75" customHeight="1">
      <c r="A707" s="2"/>
    </row>
    <row r="708" spans="1:1" ht="15.75" customHeight="1">
      <c r="A708" s="2"/>
    </row>
    <row r="709" spans="1:1" ht="15.75" customHeight="1">
      <c r="A709" s="2"/>
    </row>
    <row r="710" spans="1:1" ht="15.75" customHeight="1">
      <c r="A710" s="2"/>
    </row>
    <row r="711" spans="1:1" ht="15.75" customHeight="1">
      <c r="A711" s="2"/>
    </row>
    <row r="712" spans="1:1" ht="15.75" customHeight="1">
      <c r="A712" s="2"/>
    </row>
    <row r="713" spans="1:1" ht="15.75" customHeight="1">
      <c r="A713" s="2"/>
    </row>
    <row r="714" spans="1:1" ht="15.75" customHeight="1">
      <c r="A714" s="2"/>
    </row>
    <row r="715" spans="1:1" ht="15.75" customHeight="1">
      <c r="A715" s="2"/>
    </row>
    <row r="716" spans="1:1" ht="15.75" customHeight="1">
      <c r="A716" s="2"/>
    </row>
    <row r="717" spans="1:1" ht="15.75" customHeight="1">
      <c r="A717" s="2"/>
    </row>
    <row r="718" spans="1:1" ht="15.75" customHeight="1">
      <c r="A718" s="2"/>
    </row>
    <row r="719" spans="1:1" ht="15.75" customHeight="1">
      <c r="A719" s="2"/>
    </row>
    <row r="720" spans="1:1" ht="15.75" customHeight="1">
      <c r="A720" s="2"/>
    </row>
    <row r="721" spans="1:1" ht="15.75" customHeight="1">
      <c r="A721" s="2"/>
    </row>
    <row r="722" spans="1:1" ht="15.75" customHeight="1">
      <c r="A722" s="2"/>
    </row>
    <row r="723" spans="1:1" ht="15.75" customHeight="1">
      <c r="A723" s="2"/>
    </row>
    <row r="724" spans="1:1" ht="15.75" customHeight="1">
      <c r="A724" s="2"/>
    </row>
    <row r="725" spans="1:1" ht="15.75" customHeight="1">
      <c r="A725" s="2"/>
    </row>
    <row r="726" spans="1:1" ht="15.75" customHeight="1">
      <c r="A726" s="2"/>
    </row>
    <row r="727" spans="1:1" ht="15.75" customHeight="1">
      <c r="A727" s="2"/>
    </row>
    <row r="728" spans="1:1" ht="15.75" customHeight="1">
      <c r="A728" s="2"/>
    </row>
    <row r="729" spans="1:1" ht="15.75" customHeight="1">
      <c r="A729" s="2"/>
    </row>
    <row r="730" spans="1:1" ht="15.75" customHeight="1">
      <c r="A730" s="2"/>
    </row>
    <row r="731" spans="1:1" ht="15.75" customHeight="1">
      <c r="A731" s="2"/>
    </row>
    <row r="732" spans="1:1" ht="15.75" customHeight="1">
      <c r="A732" s="2"/>
    </row>
    <row r="733" spans="1:1" ht="15.75" customHeight="1">
      <c r="A733" s="2"/>
    </row>
    <row r="734" spans="1:1" ht="15.75" customHeight="1">
      <c r="A734" s="2"/>
    </row>
    <row r="735" spans="1:1" ht="15.75" customHeight="1">
      <c r="A735" s="2"/>
    </row>
    <row r="736" spans="1:1" ht="15.75" customHeight="1">
      <c r="A736" s="2"/>
    </row>
    <row r="737" spans="1:1" ht="15.75" customHeight="1">
      <c r="A737" s="2"/>
    </row>
    <row r="738" spans="1:1" ht="15.75" customHeight="1">
      <c r="A738" s="2"/>
    </row>
    <row r="739" spans="1:1" ht="15.75" customHeight="1">
      <c r="A739" s="2"/>
    </row>
    <row r="740" spans="1:1" ht="15.75" customHeight="1">
      <c r="A740" s="2"/>
    </row>
    <row r="741" spans="1:1" ht="15.75" customHeight="1">
      <c r="A741" s="2"/>
    </row>
    <row r="742" spans="1:1" ht="15.75" customHeight="1">
      <c r="A742" s="2"/>
    </row>
    <row r="743" spans="1:1" ht="15.75" customHeight="1">
      <c r="A743" s="2"/>
    </row>
    <row r="744" spans="1:1" ht="15.75" customHeight="1">
      <c r="A744" s="2"/>
    </row>
    <row r="745" spans="1:1" ht="15.75" customHeight="1">
      <c r="A745" s="2"/>
    </row>
    <row r="746" spans="1:1" ht="15.75" customHeight="1">
      <c r="A746" s="2"/>
    </row>
    <row r="747" spans="1:1" ht="15.75" customHeight="1">
      <c r="A747" s="2"/>
    </row>
    <row r="748" spans="1:1" ht="15.75" customHeight="1">
      <c r="A748" s="2"/>
    </row>
    <row r="749" spans="1:1" ht="15.75" customHeight="1">
      <c r="A749" s="2"/>
    </row>
    <row r="750" spans="1:1" ht="15.75" customHeight="1">
      <c r="A750" s="2"/>
    </row>
    <row r="751" spans="1:1" ht="15.75" customHeight="1">
      <c r="A751" s="2"/>
    </row>
    <row r="752" spans="1:1" ht="15.75" customHeight="1">
      <c r="A752" s="2"/>
    </row>
    <row r="753" spans="1:1" ht="15.75" customHeight="1">
      <c r="A753" s="2"/>
    </row>
    <row r="754" spans="1:1" ht="15.75" customHeight="1">
      <c r="A754" s="2"/>
    </row>
    <row r="755" spans="1:1" ht="15.75" customHeight="1">
      <c r="A755" s="2"/>
    </row>
    <row r="756" spans="1:1" ht="15.75" customHeight="1">
      <c r="A756" s="2"/>
    </row>
    <row r="757" spans="1:1" ht="15.75" customHeight="1">
      <c r="A757" s="2"/>
    </row>
    <row r="758" spans="1:1" ht="15.75" customHeight="1">
      <c r="A758" s="2"/>
    </row>
    <row r="759" spans="1:1" ht="15.75" customHeight="1">
      <c r="A759" s="2"/>
    </row>
    <row r="760" spans="1:1" ht="15.75" customHeight="1">
      <c r="A760" s="2"/>
    </row>
    <row r="761" spans="1:1" ht="15.75" customHeight="1">
      <c r="A761" s="2"/>
    </row>
    <row r="762" spans="1:1" ht="15.75" customHeight="1">
      <c r="A762" s="2"/>
    </row>
    <row r="763" spans="1:1" ht="15.75" customHeight="1">
      <c r="A763" s="2"/>
    </row>
    <row r="764" spans="1:1" ht="15.75" customHeight="1">
      <c r="A764" s="2"/>
    </row>
    <row r="765" spans="1:1" ht="15.75" customHeight="1">
      <c r="A765" s="2"/>
    </row>
    <row r="766" spans="1:1" ht="15.75" customHeight="1">
      <c r="A766" s="2"/>
    </row>
    <row r="767" spans="1:1" ht="15.75" customHeight="1">
      <c r="A767" s="2"/>
    </row>
    <row r="768" spans="1:1" ht="15.75" customHeight="1">
      <c r="A768" s="2"/>
    </row>
    <row r="769" spans="1:1" ht="15.75" customHeight="1">
      <c r="A769" s="2"/>
    </row>
    <row r="770" spans="1:1" ht="15.75" customHeight="1">
      <c r="A770" s="2"/>
    </row>
    <row r="771" spans="1:1" ht="15.75" customHeight="1">
      <c r="A771" s="2"/>
    </row>
    <row r="772" spans="1:1" ht="15.75" customHeight="1">
      <c r="A772" s="2"/>
    </row>
    <row r="773" spans="1:1" ht="15.75" customHeight="1">
      <c r="A773" s="2"/>
    </row>
    <row r="774" spans="1:1" ht="15.75" customHeight="1">
      <c r="A774" s="2"/>
    </row>
    <row r="775" spans="1:1" ht="15.75" customHeight="1">
      <c r="A775" s="2"/>
    </row>
    <row r="776" spans="1:1" ht="15.75" customHeight="1">
      <c r="A776" s="2"/>
    </row>
    <row r="777" spans="1:1" ht="15.75" customHeight="1">
      <c r="A777" s="2"/>
    </row>
    <row r="778" spans="1:1" ht="15.75" customHeight="1">
      <c r="A778" s="2"/>
    </row>
    <row r="779" spans="1:1" ht="15.75" customHeight="1">
      <c r="A779" s="2"/>
    </row>
    <row r="780" spans="1:1" ht="15.75" customHeight="1">
      <c r="A780" s="2"/>
    </row>
    <row r="781" spans="1:1" ht="15.75" customHeight="1">
      <c r="A781" s="2"/>
    </row>
    <row r="782" spans="1:1" ht="15.75" customHeight="1">
      <c r="A782" s="2"/>
    </row>
    <row r="783" spans="1:1" ht="15.75" customHeight="1">
      <c r="A783" s="2"/>
    </row>
    <row r="784" spans="1:1" ht="15.75" customHeight="1">
      <c r="A784" s="2"/>
    </row>
    <row r="785" spans="1:1" ht="15.75" customHeight="1">
      <c r="A785" s="2"/>
    </row>
    <row r="786" spans="1:1" ht="15.75" customHeight="1">
      <c r="A786" s="2"/>
    </row>
    <row r="787" spans="1:1" ht="15.75" customHeight="1">
      <c r="A787" s="2"/>
    </row>
    <row r="788" spans="1:1" ht="15.75" customHeight="1">
      <c r="A788" s="2"/>
    </row>
    <row r="789" spans="1:1" ht="15.75" customHeight="1">
      <c r="A789" s="2"/>
    </row>
    <row r="790" spans="1:1" ht="15.75" customHeight="1">
      <c r="A790" s="2"/>
    </row>
    <row r="791" spans="1:1" ht="15.75" customHeight="1">
      <c r="A791" s="2"/>
    </row>
    <row r="792" spans="1:1" ht="15.75" customHeight="1">
      <c r="A792" s="2"/>
    </row>
    <row r="793" spans="1:1" ht="15.75" customHeight="1">
      <c r="A793" s="2"/>
    </row>
    <row r="794" spans="1:1" ht="15.75" customHeight="1">
      <c r="A794" s="2"/>
    </row>
    <row r="795" spans="1:1" ht="15.75" customHeight="1">
      <c r="A795" s="2"/>
    </row>
    <row r="796" spans="1:1" ht="15.75" customHeight="1">
      <c r="A796" s="2"/>
    </row>
    <row r="797" spans="1:1" ht="15.75" customHeight="1">
      <c r="A797" s="2"/>
    </row>
    <row r="798" spans="1:1" ht="15.75" customHeight="1">
      <c r="A798" s="2"/>
    </row>
    <row r="799" spans="1:1" ht="15.75" customHeight="1">
      <c r="A799" s="2"/>
    </row>
    <row r="800" spans="1:1" ht="15.75" customHeight="1">
      <c r="A800" s="2"/>
    </row>
    <row r="801" spans="1:1" ht="15.75" customHeight="1">
      <c r="A801" s="2"/>
    </row>
    <row r="802" spans="1:1" ht="15.75" customHeight="1">
      <c r="A802" s="2"/>
    </row>
    <row r="803" spans="1:1" ht="15.75" customHeight="1">
      <c r="A803" s="2"/>
    </row>
    <row r="804" spans="1:1" ht="15.75" customHeight="1">
      <c r="A804" s="2"/>
    </row>
    <row r="805" spans="1:1" ht="15.75" customHeight="1">
      <c r="A805" s="2"/>
    </row>
    <row r="806" spans="1:1" ht="15.75" customHeight="1">
      <c r="A806" s="2"/>
    </row>
    <row r="807" spans="1:1" ht="15.75" customHeight="1">
      <c r="A807" s="2"/>
    </row>
    <row r="808" spans="1:1" ht="15.75" customHeight="1">
      <c r="A808" s="2"/>
    </row>
    <row r="809" spans="1:1" ht="15.75" customHeight="1">
      <c r="A809" s="2"/>
    </row>
    <row r="810" spans="1:1" ht="15.75" customHeight="1">
      <c r="A810" s="2"/>
    </row>
    <row r="811" spans="1:1" ht="15.75" customHeight="1">
      <c r="A811" s="2"/>
    </row>
    <row r="812" spans="1:1" ht="15.75" customHeight="1">
      <c r="A812" s="2"/>
    </row>
    <row r="813" spans="1:1" ht="15.75" customHeight="1">
      <c r="A813" s="2"/>
    </row>
    <row r="814" spans="1:1" ht="15.75" customHeight="1">
      <c r="A814" s="2"/>
    </row>
    <row r="815" spans="1:1" ht="15.75" customHeight="1">
      <c r="A815" s="2"/>
    </row>
    <row r="816" spans="1:1" ht="15.75" customHeight="1">
      <c r="A816" s="2"/>
    </row>
    <row r="817" spans="1:1" ht="15.75" customHeight="1">
      <c r="A817" s="2"/>
    </row>
    <row r="818" spans="1:1" ht="15.75" customHeight="1">
      <c r="A818" s="2"/>
    </row>
    <row r="819" spans="1:1" ht="15.75" customHeight="1">
      <c r="A819" s="2"/>
    </row>
    <row r="820" spans="1:1" ht="15.75" customHeight="1">
      <c r="A820" s="2"/>
    </row>
    <row r="821" spans="1:1" ht="15.75" customHeight="1">
      <c r="A821" s="2"/>
    </row>
    <row r="822" spans="1:1" ht="15.75" customHeight="1">
      <c r="A822" s="2"/>
    </row>
    <row r="823" spans="1:1" ht="15.75" customHeight="1">
      <c r="A823" s="2"/>
    </row>
    <row r="824" spans="1:1" ht="15.75" customHeight="1">
      <c r="A824" s="2"/>
    </row>
    <row r="825" spans="1:1" ht="15.75" customHeight="1">
      <c r="A825" s="2"/>
    </row>
    <row r="826" spans="1:1" ht="15.75" customHeight="1">
      <c r="A826" s="2"/>
    </row>
    <row r="827" spans="1:1" ht="15.75" customHeight="1">
      <c r="A827" s="2"/>
    </row>
    <row r="828" spans="1:1" ht="15.75" customHeight="1">
      <c r="A828" s="2"/>
    </row>
    <row r="829" spans="1:1" ht="15.75" customHeight="1">
      <c r="A829" s="2"/>
    </row>
    <row r="830" spans="1:1" ht="15.75" customHeight="1">
      <c r="A830" s="2"/>
    </row>
    <row r="831" spans="1:1" ht="15.75" customHeight="1">
      <c r="A831" s="2"/>
    </row>
    <row r="832" spans="1:1" ht="15.75" customHeight="1">
      <c r="A832" s="2"/>
    </row>
    <row r="833" spans="1:1" ht="15.75" customHeight="1">
      <c r="A833" s="2"/>
    </row>
    <row r="834" spans="1:1" ht="15.75" customHeight="1">
      <c r="A834" s="2"/>
    </row>
    <row r="835" spans="1:1" ht="15.75" customHeight="1">
      <c r="A835" s="2"/>
    </row>
    <row r="836" spans="1:1" ht="15.75" customHeight="1">
      <c r="A836" s="2"/>
    </row>
    <row r="837" spans="1:1" ht="15.75" customHeight="1">
      <c r="A837" s="2"/>
    </row>
    <row r="838" spans="1:1" ht="15.75" customHeight="1">
      <c r="A838" s="2"/>
    </row>
    <row r="839" spans="1:1" ht="15.75" customHeight="1">
      <c r="A839" s="2"/>
    </row>
    <row r="840" spans="1:1" ht="15.75" customHeight="1">
      <c r="A840" s="2"/>
    </row>
    <row r="841" spans="1:1" ht="15.75" customHeight="1">
      <c r="A841" s="2"/>
    </row>
    <row r="842" spans="1:1" ht="15.75" customHeight="1">
      <c r="A842" s="2"/>
    </row>
    <row r="843" spans="1:1" ht="15.75" customHeight="1">
      <c r="A843" s="2"/>
    </row>
    <row r="844" spans="1:1" ht="15.75" customHeight="1">
      <c r="A844" s="2"/>
    </row>
    <row r="845" spans="1:1" ht="15.75" customHeight="1">
      <c r="A845" s="2"/>
    </row>
    <row r="846" spans="1:1" ht="15.75" customHeight="1">
      <c r="A846" s="2"/>
    </row>
    <row r="847" spans="1:1" ht="15.75" customHeight="1">
      <c r="A847" s="2"/>
    </row>
    <row r="848" spans="1:1" ht="15.75" customHeight="1">
      <c r="A848" s="2"/>
    </row>
    <row r="849" spans="1:1" ht="15.75" customHeight="1">
      <c r="A849" s="2"/>
    </row>
    <row r="850" spans="1:1" ht="15.75" customHeight="1">
      <c r="A850" s="2"/>
    </row>
    <row r="851" spans="1:1" ht="15.75" customHeight="1">
      <c r="A851" s="2"/>
    </row>
    <row r="852" spans="1:1" ht="15.75" customHeight="1">
      <c r="A852" s="2"/>
    </row>
    <row r="853" spans="1:1" ht="15.75" customHeight="1">
      <c r="A853" s="2"/>
    </row>
    <row r="854" spans="1:1" ht="15.75" customHeight="1">
      <c r="A854" s="2"/>
    </row>
    <row r="855" spans="1:1" ht="15.75" customHeight="1">
      <c r="A855" s="2"/>
    </row>
    <row r="856" spans="1:1" ht="15.75" customHeight="1">
      <c r="A856" s="2"/>
    </row>
    <row r="857" spans="1:1" ht="15.75" customHeight="1">
      <c r="A857" s="2"/>
    </row>
    <row r="858" spans="1:1" ht="15.75" customHeight="1">
      <c r="A858" s="2"/>
    </row>
    <row r="859" spans="1:1" ht="15.75" customHeight="1">
      <c r="A859" s="2"/>
    </row>
    <row r="860" spans="1:1" ht="15.75" customHeight="1">
      <c r="A860" s="2"/>
    </row>
    <row r="861" spans="1:1" ht="15.75" customHeight="1">
      <c r="A861" s="2"/>
    </row>
    <row r="862" spans="1:1" ht="15.75" customHeight="1">
      <c r="A862" s="2"/>
    </row>
    <row r="863" spans="1:1" ht="15.75" customHeight="1">
      <c r="A863" s="2"/>
    </row>
    <row r="864" spans="1:1" ht="15.75" customHeight="1">
      <c r="A864" s="2"/>
    </row>
    <row r="865" spans="1:1" ht="15.75" customHeight="1">
      <c r="A865" s="2"/>
    </row>
    <row r="866" spans="1:1" ht="15.75" customHeight="1">
      <c r="A866" s="2"/>
    </row>
    <row r="867" spans="1:1" ht="15.75" customHeight="1">
      <c r="A867" s="2"/>
    </row>
    <row r="868" spans="1:1" ht="15.75" customHeight="1">
      <c r="A868" s="2"/>
    </row>
    <row r="869" spans="1:1" ht="15.75" customHeight="1">
      <c r="A869" s="2"/>
    </row>
    <row r="870" spans="1:1" ht="15.75" customHeight="1">
      <c r="A870" s="2"/>
    </row>
    <row r="871" spans="1:1" ht="15.75" customHeight="1">
      <c r="A871" s="2"/>
    </row>
    <row r="872" spans="1:1" ht="15.75" customHeight="1">
      <c r="A872" s="2"/>
    </row>
    <row r="873" spans="1:1" ht="15.75" customHeight="1">
      <c r="A873" s="2"/>
    </row>
    <row r="874" spans="1:1" ht="15.75" customHeight="1">
      <c r="A874" s="2"/>
    </row>
    <row r="875" spans="1:1" ht="15.75" customHeight="1">
      <c r="A875" s="2"/>
    </row>
    <row r="876" spans="1:1" ht="15.75" customHeight="1">
      <c r="A876" s="2"/>
    </row>
    <row r="877" spans="1:1" ht="15.75" customHeight="1">
      <c r="A877" s="2"/>
    </row>
    <row r="878" spans="1:1" ht="15.75" customHeight="1">
      <c r="A878" s="2"/>
    </row>
    <row r="879" spans="1:1" ht="15.75" customHeight="1">
      <c r="A879" s="2"/>
    </row>
    <row r="880" spans="1:1" ht="15.75" customHeight="1">
      <c r="A880" s="2"/>
    </row>
    <row r="881" spans="1:1" ht="15.75" customHeight="1">
      <c r="A881" s="2"/>
    </row>
    <row r="882" spans="1:1" ht="15.75" customHeight="1">
      <c r="A882" s="2"/>
    </row>
    <row r="883" spans="1:1" ht="15.75" customHeight="1">
      <c r="A883" s="2"/>
    </row>
    <row r="884" spans="1:1" ht="15.75" customHeight="1">
      <c r="A884" s="2"/>
    </row>
    <row r="885" spans="1:1" ht="15.75" customHeight="1">
      <c r="A885" s="2"/>
    </row>
    <row r="886" spans="1:1" ht="15.75" customHeight="1">
      <c r="A886" s="2"/>
    </row>
    <row r="887" spans="1:1" ht="15.75" customHeight="1">
      <c r="A887" s="2"/>
    </row>
    <row r="888" spans="1:1" ht="15.75" customHeight="1">
      <c r="A888" s="2"/>
    </row>
    <row r="889" spans="1:1" ht="15.75" customHeight="1">
      <c r="A889" s="2"/>
    </row>
    <row r="890" spans="1:1" ht="15.75" customHeight="1">
      <c r="A890" s="2"/>
    </row>
    <row r="891" spans="1:1" ht="15.75" customHeight="1">
      <c r="A891" s="2"/>
    </row>
    <row r="892" spans="1:1" ht="15.75" customHeight="1">
      <c r="A892" s="2"/>
    </row>
    <row r="893" spans="1:1" ht="15.75" customHeight="1">
      <c r="A893" s="2"/>
    </row>
    <row r="894" spans="1:1" ht="15.75" customHeight="1">
      <c r="A894" s="2"/>
    </row>
    <row r="895" spans="1:1" ht="15.75" customHeight="1">
      <c r="A895" s="2"/>
    </row>
    <row r="896" spans="1:1" ht="15.75" customHeight="1">
      <c r="A896" s="2"/>
    </row>
    <row r="897" spans="1:1" ht="15.75" customHeight="1">
      <c r="A897" s="2"/>
    </row>
    <row r="898" spans="1:1" ht="15.75" customHeight="1">
      <c r="A898" s="2"/>
    </row>
    <row r="899" spans="1:1" ht="15.75" customHeight="1">
      <c r="A899" s="2"/>
    </row>
    <row r="900" spans="1:1" ht="15.75" customHeight="1">
      <c r="A900" s="2"/>
    </row>
    <row r="901" spans="1:1" ht="15.75" customHeight="1">
      <c r="A901" s="2"/>
    </row>
    <row r="902" spans="1:1" ht="15.75" customHeight="1">
      <c r="A902" s="2"/>
    </row>
    <row r="903" spans="1:1" ht="15.75" customHeight="1">
      <c r="A903" s="2"/>
    </row>
    <row r="904" spans="1:1" ht="15.75" customHeight="1">
      <c r="A904" s="2"/>
    </row>
    <row r="905" spans="1:1" ht="15.75" customHeight="1">
      <c r="A905" s="2"/>
    </row>
    <row r="906" spans="1:1" ht="15.75" customHeight="1">
      <c r="A906" s="2"/>
    </row>
    <row r="907" spans="1:1" ht="15.75" customHeight="1">
      <c r="A907" s="2"/>
    </row>
    <row r="908" spans="1:1" ht="15.75" customHeight="1">
      <c r="A908" s="2"/>
    </row>
    <row r="909" spans="1:1" ht="15.75" customHeight="1">
      <c r="A909" s="2"/>
    </row>
    <row r="910" spans="1:1" ht="15.75" customHeight="1">
      <c r="A910" s="2"/>
    </row>
    <row r="911" spans="1:1" ht="15.75" customHeight="1">
      <c r="A911" s="2"/>
    </row>
    <row r="912" spans="1:1" ht="15.75" customHeight="1">
      <c r="A912" s="2"/>
    </row>
    <row r="913" spans="1:1" ht="15.75" customHeight="1">
      <c r="A913" s="2"/>
    </row>
    <row r="914" spans="1:1" ht="15.75" customHeight="1">
      <c r="A914" s="2"/>
    </row>
    <row r="915" spans="1:1" ht="15.75" customHeight="1">
      <c r="A915" s="2"/>
    </row>
    <row r="916" spans="1:1" ht="15.75" customHeight="1">
      <c r="A916" s="2"/>
    </row>
    <row r="917" spans="1:1" ht="15.75" customHeight="1">
      <c r="A917" s="2"/>
    </row>
    <row r="918" spans="1:1" ht="15.75" customHeight="1">
      <c r="A918" s="2"/>
    </row>
    <row r="919" spans="1:1" ht="15.75" customHeight="1">
      <c r="A919" s="2"/>
    </row>
    <row r="920" spans="1:1" ht="15.75" customHeight="1">
      <c r="A920" s="2"/>
    </row>
    <row r="921" spans="1:1" ht="15.75" customHeight="1">
      <c r="A921" s="2"/>
    </row>
    <row r="922" spans="1:1" ht="15.75" customHeight="1">
      <c r="A922" s="2"/>
    </row>
    <row r="923" spans="1:1" ht="15.75" customHeight="1">
      <c r="A923" s="2"/>
    </row>
    <row r="924" spans="1:1" ht="15.75" customHeight="1">
      <c r="A924" s="2"/>
    </row>
    <row r="925" spans="1:1" ht="15.75" customHeight="1">
      <c r="A925" s="2"/>
    </row>
    <row r="926" spans="1:1" ht="15.75" customHeight="1">
      <c r="A926" s="2"/>
    </row>
    <row r="927" spans="1:1" ht="15.75" customHeight="1">
      <c r="A927" s="2"/>
    </row>
    <row r="928" spans="1:1" ht="15.75" customHeight="1">
      <c r="A928" s="2"/>
    </row>
    <row r="929" spans="1:1" ht="15.75" customHeight="1">
      <c r="A929" s="2"/>
    </row>
    <row r="930" spans="1:1" ht="15.75" customHeight="1">
      <c r="A930" s="2"/>
    </row>
    <row r="931" spans="1:1" ht="15.75" customHeight="1">
      <c r="A931" s="2"/>
    </row>
    <row r="932" spans="1:1" ht="15.75" customHeight="1">
      <c r="A932" s="2"/>
    </row>
    <row r="933" spans="1:1" ht="15.75" customHeight="1">
      <c r="A933" s="2"/>
    </row>
    <row r="934" spans="1:1" ht="15.75" customHeight="1">
      <c r="A934" s="2"/>
    </row>
    <row r="935" spans="1:1" ht="15.75" customHeight="1">
      <c r="A935" s="2"/>
    </row>
    <row r="936" spans="1:1" ht="15.75" customHeight="1">
      <c r="A936" s="2"/>
    </row>
    <row r="937" spans="1:1" ht="15.75" customHeight="1">
      <c r="A937" s="2"/>
    </row>
    <row r="938" spans="1:1" ht="15.75" customHeight="1">
      <c r="A938" s="2"/>
    </row>
    <row r="939" spans="1:1" ht="15.75" customHeight="1">
      <c r="A939" s="2"/>
    </row>
    <row r="940" spans="1:1" ht="15.75" customHeight="1">
      <c r="A940" s="2"/>
    </row>
    <row r="941" spans="1:1" ht="15.75" customHeight="1">
      <c r="A941" s="2"/>
    </row>
    <row r="942" spans="1:1" ht="15.75" customHeight="1">
      <c r="A942" s="2"/>
    </row>
    <row r="943" spans="1:1" ht="15.75" customHeight="1">
      <c r="A943" s="2"/>
    </row>
    <row r="944" spans="1:1" ht="15.75" customHeight="1">
      <c r="A944" s="2"/>
    </row>
    <row r="945" spans="1:1" ht="15.75" customHeight="1">
      <c r="A945" s="2"/>
    </row>
    <row r="946" spans="1:1" ht="15.75" customHeight="1">
      <c r="A946" s="2"/>
    </row>
    <row r="947" spans="1:1" ht="15.75" customHeight="1">
      <c r="A947" s="2"/>
    </row>
    <row r="948" spans="1:1" ht="15.75" customHeight="1">
      <c r="A948" s="2"/>
    </row>
    <row r="949" spans="1:1" ht="15.75" customHeight="1">
      <c r="A949" s="2"/>
    </row>
    <row r="950" spans="1:1" ht="15.75" customHeight="1">
      <c r="A950" s="2"/>
    </row>
    <row r="951" spans="1:1" ht="15.75" customHeight="1">
      <c r="A951" s="2"/>
    </row>
    <row r="952" spans="1:1" ht="15.75" customHeight="1">
      <c r="A952" s="2"/>
    </row>
    <row r="953" spans="1:1" ht="15.75" customHeight="1">
      <c r="A953" s="2"/>
    </row>
    <row r="954" spans="1:1" ht="15.75" customHeight="1">
      <c r="A954" s="2"/>
    </row>
    <row r="955" spans="1:1" ht="15.75" customHeight="1">
      <c r="A955" s="2"/>
    </row>
    <row r="956" spans="1:1" ht="15.75" customHeight="1">
      <c r="A956" s="2"/>
    </row>
    <row r="957" spans="1:1" ht="15.75" customHeight="1">
      <c r="A957" s="2"/>
    </row>
    <row r="958" spans="1:1" ht="15.75" customHeight="1">
      <c r="A958" s="2"/>
    </row>
    <row r="959" spans="1:1" ht="15.75" customHeight="1">
      <c r="A959" s="2"/>
    </row>
    <row r="960" spans="1:1" ht="15.75" customHeight="1">
      <c r="A960" s="2"/>
    </row>
    <row r="961" spans="1:1" ht="15.75" customHeight="1">
      <c r="A961" s="2"/>
    </row>
    <row r="962" spans="1:1" ht="15.75" customHeight="1">
      <c r="A962" s="2"/>
    </row>
    <row r="963" spans="1:1" ht="15.75" customHeight="1">
      <c r="A963" s="2"/>
    </row>
    <row r="964" spans="1:1" ht="15.75" customHeight="1">
      <c r="A964" s="2"/>
    </row>
    <row r="965" spans="1:1" ht="15.75" customHeight="1">
      <c r="A965" s="2"/>
    </row>
    <row r="966" spans="1:1" ht="15.75" customHeight="1">
      <c r="A966" s="2"/>
    </row>
    <row r="967" spans="1:1" ht="15.75" customHeight="1">
      <c r="A967" s="2"/>
    </row>
    <row r="968" spans="1:1" ht="15.75" customHeight="1">
      <c r="A968" s="2"/>
    </row>
    <row r="969" spans="1:1" ht="15.75" customHeight="1">
      <c r="A969" s="2"/>
    </row>
    <row r="970" spans="1:1" ht="15.75" customHeight="1">
      <c r="A970" s="2"/>
    </row>
    <row r="971" spans="1:1" ht="15.75" customHeight="1">
      <c r="A971" s="2"/>
    </row>
    <row r="972" spans="1:1" ht="15.75" customHeight="1">
      <c r="A972" s="2"/>
    </row>
    <row r="973" spans="1:1" ht="15.75" customHeight="1">
      <c r="A973" s="2"/>
    </row>
    <row r="974" spans="1:1" ht="15.75" customHeight="1">
      <c r="A974" s="2"/>
    </row>
    <row r="975" spans="1:1" ht="15.75" customHeight="1">
      <c r="A975" s="2"/>
    </row>
    <row r="976" spans="1:1" ht="15.75" customHeight="1">
      <c r="A976" s="2"/>
    </row>
    <row r="977" spans="1:1" ht="15.75" customHeight="1">
      <c r="A977" s="2"/>
    </row>
    <row r="978" spans="1:1" ht="15.75" customHeight="1">
      <c r="A978" s="2"/>
    </row>
    <row r="979" spans="1:1" ht="15.75" customHeight="1">
      <c r="A979" s="2"/>
    </row>
    <row r="980" spans="1:1" ht="15.75" customHeight="1">
      <c r="A980" s="2"/>
    </row>
    <row r="981" spans="1:1" ht="15.75" customHeight="1">
      <c r="A981" s="2"/>
    </row>
    <row r="982" spans="1:1" ht="15.75" customHeight="1">
      <c r="A982" s="2"/>
    </row>
    <row r="983" spans="1:1" ht="15.75" customHeight="1">
      <c r="A983" s="2"/>
    </row>
    <row r="984" spans="1:1" ht="15.75" customHeight="1">
      <c r="A984" s="2"/>
    </row>
    <row r="985" spans="1:1" ht="15.75" customHeight="1">
      <c r="A985" s="2"/>
    </row>
    <row r="986" spans="1:1" ht="15.75" customHeight="1">
      <c r="A986" s="2"/>
    </row>
    <row r="987" spans="1:1" ht="15.75" customHeight="1">
      <c r="A987" s="2"/>
    </row>
    <row r="988" spans="1:1" ht="15.75" customHeight="1">
      <c r="A988" s="2"/>
    </row>
    <row r="989" spans="1:1" ht="15.75" customHeight="1">
      <c r="A989" s="2"/>
    </row>
    <row r="990" spans="1:1" ht="15.75" customHeight="1">
      <c r="A990" s="2"/>
    </row>
    <row r="991" spans="1:1" ht="15.75" customHeight="1">
      <c r="A991" s="2"/>
    </row>
    <row r="992" spans="1:1" ht="15.75" customHeight="1">
      <c r="A992" s="2"/>
    </row>
    <row r="993" spans="1:1" ht="15.75" customHeight="1">
      <c r="A993" s="2"/>
    </row>
    <row r="994" spans="1:1" ht="15.75" customHeight="1">
      <c r="A994" s="2"/>
    </row>
    <row r="995" spans="1:1" ht="15.75" customHeight="1">
      <c r="A995" s="2"/>
    </row>
    <row r="996" spans="1:1" ht="15.75" customHeight="1">
      <c r="A996" s="2"/>
    </row>
    <row r="997" spans="1:1" ht="15.75" customHeight="1">
      <c r="A997" s="2"/>
    </row>
    <row r="998" spans="1:1" ht="15.75" customHeight="1">
      <c r="A998" s="2"/>
    </row>
    <row r="999" spans="1:1" ht="15.75" customHeight="1">
      <c r="A999" s="2"/>
    </row>
    <row r="1000" spans="1:1" ht="15.75" customHeight="1">
      <c r="A1000" s="2"/>
    </row>
  </sheetData>
  <mergeCells count="1">
    <mergeCell ref="B2:V53"/>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SAMPLE</vt:lpstr>
      <vt:lpstr>2026</vt:lpstr>
      <vt:lpstr>2027</vt:lpstr>
      <vt:lpstr>2028</vt:lpstr>
      <vt:lpstr>2029</vt:lpstr>
      <vt:lpstr>2030</vt:lpstr>
      <vt:lpstr>TEMPLATE - Future Years</vt:lpstr>
      <vt:lpstr>Please Support Project REAL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Mike Kamer</cp:lastModifiedBy>
  <dcterms:modified xsi:type="dcterms:W3CDTF">2026-01-05T19:44:10Z</dcterms:modified>
</cp:coreProperties>
</file>